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firstSheet="4" activeTab="10"/>
  </bookViews>
  <sheets>
    <sheet name="Biểu 69" sheetId="1" r:id="rId1"/>
    <sheet name="Biểu 70" sheetId="2" r:id="rId2"/>
    <sheet name="Biểu 71" sheetId="3" r:id="rId3"/>
    <sheet name="Biểu số 72" sheetId="4" r:id="rId4"/>
    <sheet name="Biểu số 73" sheetId="5" r:id="rId5"/>
    <sheet name="Biểu số 74" sheetId="6" r:id="rId6"/>
    <sheet name="Đầu tư.Biểu 75 (XDCBTT)" sheetId="7" r:id="rId7"/>
    <sheet name="Biểu 76" sheetId="8" r:id="rId8"/>
    <sheet name="Biểu số 77" sheetId="9" r:id="rId9"/>
    <sheet name="bIỂU 78" sheetId="10" r:id="rId10"/>
    <sheet name="Biểu 79" sheetId="11" r:id="rId11"/>
  </sheets>
  <externalReferences>
    <externalReference r:id="rId14"/>
  </externalReferences>
  <definedNames>
    <definedName name="_xlnm.Print_Area" localSheetId="10">'Biểu 79'!$A$1:$S$40</definedName>
    <definedName name="_xlnm.Print_Titles" localSheetId="2">'Biểu 71'!$5:$7</definedName>
    <definedName name="_xlnm.Print_Titles" localSheetId="7">'Biểu 76'!$4:$5</definedName>
    <definedName name="_xlnm.Print_Titles" localSheetId="9">'bIỂU 78'!$5:$7</definedName>
    <definedName name="_xlnm.Print_Titles" localSheetId="10">'Biểu 79'!$6:$8</definedName>
    <definedName name="_xlnm.Print_Titles" localSheetId="3">'Biểu số 72'!$6:$7</definedName>
    <definedName name="_xlnm.Print_Titles" localSheetId="5">'Biểu số 74'!$6:$7</definedName>
    <definedName name="_xlnm.Print_Titles" localSheetId="8">'Biểu số 77'!$4:$6</definedName>
    <definedName name="_xlnm.Print_Titles" localSheetId="6">'Đầu tư.Biểu 75 (XDCBTT)'!$5:$7</definedName>
  </definedNames>
  <calcPr fullCalcOnLoad="1"/>
</workbook>
</file>

<file path=xl/comments8.xml><?xml version="1.0" encoding="utf-8"?>
<comments xmlns="http://schemas.openxmlformats.org/spreadsheetml/2006/main">
  <authors>
    <author>Windows User</author>
  </authors>
  <commentList>
    <comment ref="K9" authorId="0">
      <text>
        <r>
          <rPr>
            <b/>
            <sz val="9"/>
            <rFont val="Tahoma"/>
            <family val="2"/>
          </rPr>
          <t>Windows User:</t>
        </r>
        <r>
          <rPr>
            <sz val="9"/>
            <rFont val="Tahoma"/>
            <family val="2"/>
          </rPr>
          <t xml:space="preserve">
cong tham 300 festival + 500 triệu xuất bản sách chủ tịch HCM</t>
        </r>
      </text>
    </comment>
  </commentList>
</comments>
</file>

<file path=xl/sharedStrings.xml><?xml version="1.0" encoding="utf-8"?>
<sst xmlns="http://schemas.openxmlformats.org/spreadsheetml/2006/main" count="557" uniqueCount="338">
  <si>
    <t>(Dự toán trình Hội đồng nhân dân)</t>
  </si>
  <si>
    <t>STT</t>
  </si>
  <si>
    <t>Nội dung</t>
  </si>
  <si>
    <t>So sánh (%)</t>
  </si>
  <si>
    <t>ĐVT: Triệu đồng</t>
  </si>
  <si>
    <t>A</t>
  </si>
  <si>
    <t>TỔNG NGUỒN THU NGÂN SÁCH HUYỆN</t>
  </si>
  <si>
    <t>Thu ngân sách huyện được hưởng theo phân cấp</t>
  </si>
  <si>
    <t>-</t>
  </si>
  <si>
    <t>Thu ngân sách huyện hưởng 100%</t>
  </si>
  <si>
    <t>Thu ngân sách huyện hưởng từ các khoản thu phân chia</t>
  </si>
  <si>
    <t>II</t>
  </si>
  <si>
    <t>I</t>
  </si>
  <si>
    <t>Thu bổ sung từ ngân sách cấp trên</t>
  </si>
  <si>
    <t>Thu bổ sung cân đối</t>
  </si>
  <si>
    <t xml:space="preserve">- </t>
  </si>
  <si>
    <t>Thu bổ sung có mục tiêu</t>
  </si>
  <si>
    <t>III</t>
  </si>
  <si>
    <t>Thu kết dư</t>
  </si>
  <si>
    <t>IV</t>
  </si>
  <si>
    <t>Thu chuyển nguồn từ năm trước chuyển sang</t>
  </si>
  <si>
    <t>B</t>
  </si>
  <si>
    <t>TỔNG CHI NGÂN SÁCH HUYỆN</t>
  </si>
  <si>
    <t>Tổng chi cân đối ngân sách huyện</t>
  </si>
  <si>
    <t>Chi đầu tư phát triển</t>
  </si>
  <si>
    <t>Chi thường xuyên</t>
  </si>
  <si>
    <t>Dự phòng ngân sách</t>
  </si>
  <si>
    <t>Chi các chương trình mục tiêu</t>
  </si>
  <si>
    <t>Chi các chương trình mục tiêu quốc gia</t>
  </si>
  <si>
    <t>Chi các chương trình mục tiêu, nhiệm vụ</t>
  </si>
  <si>
    <t>Chi chuyển nguồn sang năm sau</t>
  </si>
  <si>
    <t>Biểu số 69/CK-NSNN</t>
  </si>
  <si>
    <t>NGÂN SÁCH CẤP HUYỆN</t>
  </si>
  <si>
    <t>Nguồn thu ngân sách</t>
  </si>
  <si>
    <t>Thu ngân sách được hưởng theo phân cấp</t>
  </si>
  <si>
    <t>Chi ngân sách</t>
  </si>
  <si>
    <t>Chi thuộc nhiệm vụ của ngân sách cấp huyện</t>
  </si>
  <si>
    <t>Chi bổ sung cho ngân sách cấp xã</t>
  </si>
  <si>
    <t>Chi bổ sung cân đối</t>
  </si>
  <si>
    <t>Chi bổ sung có mục tiêu</t>
  </si>
  <si>
    <t>NGÂN SÁCH XÃ</t>
  </si>
  <si>
    <t>Thu bổ sung từ ngân sách cấp huyện</t>
  </si>
  <si>
    <t>Tổng thu NSNN</t>
  </si>
  <si>
    <t>5=3/1</t>
  </si>
  <si>
    <t>6=4/2</t>
  </si>
  <si>
    <t>TỔNG THU NGÂN SÁCH NHÀ NƯỚC</t>
  </si>
  <si>
    <t>Thu nội địa</t>
  </si>
  <si>
    <t>Thu từ khu vực kinh tế ngoài quốc doanh</t>
  </si>
  <si>
    <t>Thuế thu nhập cá nhân</t>
  </si>
  <si>
    <t>Thuế bảo vệ môi trường</t>
  </si>
  <si>
    <t>Lệ phí trước bạ</t>
  </si>
  <si>
    <t>Thu phí, lệ phí</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</si>
  <si>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</si>
  <si>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</si>
  <si>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</si>
  <si>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</si>
  <si>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</si>
  <si>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</si>
  <si>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</si>
  <si>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</si>
  <si>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</si>
  <si>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Biểu số 71/CK-NSNN</t>
  </si>
  <si>
    <t>Biểu số 70/CK-NSNN</t>
  </si>
  <si>
    <t>DỰ TOÁN CHI NGÂN SÁCH HUYỆN, CHI NGÂN SÁCH CẤP HUYỆN</t>
  </si>
  <si>
    <t>Ngân sách huyện</t>
  </si>
  <si>
    <t>Chia ra</t>
  </si>
  <si>
    <t>Ngân sách cấp huyện</t>
  </si>
  <si>
    <t>Ngân sách cấp xã</t>
  </si>
  <si>
    <t>1=2+3</t>
  </si>
  <si>
    <t>Biểu số 72/CK-NSNN</t>
  </si>
  <si>
    <t>CHI CÂN ĐỐI NGÂN SÁCH HUYỆN</t>
  </si>
  <si>
    <t>Chi giáo dục-đào tạo và dạy nghề</t>
  </si>
  <si>
    <t>Chi khoa  học và công nghệ</t>
  </si>
  <si>
    <t>Chi đầu tư từ nguồn thu tiền sử dụng đất</t>
  </si>
  <si>
    <t>Trong đó:</t>
  </si>
  <si>
    <t>CHI CÁC CHƯƠNG TRÌNH MỤC TIÊU</t>
  </si>
  <si>
    <t>C</t>
  </si>
  <si>
    <t>CHI CHUYỂN NGUỒN SANG NĂM SAU</t>
  </si>
  <si>
    <t>Biểu số 73/CK-NSNN</t>
  </si>
  <si>
    <t>TÊN ĐƠN VỊ</t>
  </si>
  <si>
    <t>TỔNG SỐ</t>
  </si>
  <si>
    <t>TRONG ĐÓ</t>
  </si>
  <si>
    <t>CHI GIÁO DỤC-ĐÀO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</si>
  <si>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</si>
  <si>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</si>
  <si>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</si>
  <si>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</si>
  <si>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</si>
  <si>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</si>
  <si>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</si>
  <si>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CHO NÔNG NGHIỆP, LÂM NGHIỆP, THỦY LỢI, THỦY SẢN</t>
  </si>
  <si>
    <t>CHI HOẠT ĐỘNG CỦA CƠ QUAN QUẢN LÝ NHÀ NƯỚC, ĐẢNG, ĐOÀN THỂ</t>
  </si>
  <si>
    <t>CHI ĐẢM BẢO XÃ HỘI</t>
  </si>
  <si>
    <t>Biểu số 74/CK-NSNN</t>
  </si>
  <si>
    <t>Biểu số 76/CK-NSNN</t>
  </si>
  <si>
    <t>Tên đơn vị</t>
  </si>
  <si>
    <t>Tổng thu NSNN trên địa bàn</t>
  </si>
  <si>
    <t>Tổng số</t>
  </si>
  <si>
    <t>Thuế GTGT</t>
  </si>
  <si>
    <t>Thuế thu nhập doanh nghiệp</t>
  </si>
  <si>
    <t>Thuế tiêu thụ đặc biệt</t>
  </si>
  <si>
    <t>Thuế Tài nguyên</t>
  </si>
  <si>
    <t>Thuế môn bài</t>
  </si>
  <si>
    <t>CHI BỔ SUNG CÂN ĐỐI CHO NGÂN SÁCH XÃ</t>
  </si>
  <si>
    <t>CHI NGÂN SÁCH CẤP HUYỆN THEO LĨNH VỰC</t>
  </si>
  <si>
    <t>Chi Giáo dục-Đào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</si>
  <si>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</si>
  <si>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</si>
  <si>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</si>
  <si>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</si>
  <si>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</si>
  <si>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</si>
  <si>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</si>
  <si>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</si>
  <si>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đảm bảo xã hội</t>
  </si>
  <si>
    <t>Dự toán</t>
  </si>
  <si>
    <t>Phòng Tư pháp</t>
  </si>
  <si>
    <t>CHI AN NINH QUỐC PHÒNG</t>
  </si>
  <si>
    <t>UBND HUYỆN THUẬN THÀNH</t>
  </si>
  <si>
    <t>Huyện</t>
  </si>
  <si>
    <t>Xã</t>
  </si>
  <si>
    <t>Thu ngân sách địa phương</t>
  </si>
  <si>
    <t>4=3/2</t>
  </si>
  <si>
    <t>6=3/2</t>
  </si>
  <si>
    <t>Thu từ khu vực DNNN địa phương</t>
  </si>
  <si>
    <t>Thu từ khu vực đầu tư nước ngoài</t>
  </si>
  <si>
    <t>Chi đầu tư XDCB tập trung</t>
  </si>
  <si>
    <t>Chi đầu tư phát triển từ nguồn thu SD đất</t>
  </si>
  <si>
    <t>Chi khác</t>
  </si>
  <si>
    <t>K có mục tiêu</t>
  </si>
  <si>
    <t>Hỗ trợ hạ tầng nông thôn</t>
  </si>
  <si>
    <t>Văn phòng HĐND - UBND</t>
  </si>
  <si>
    <t>Phòng GD - ĐT</t>
  </si>
  <si>
    <t>Thanh tra huyện</t>
  </si>
  <si>
    <t>Phòng Kinh tế và hạ tầng</t>
  </si>
  <si>
    <t>Phòng Văn hóa</t>
  </si>
  <si>
    <t>Văn phòng Huyện ủy</t>
  </si>
  <si>
    <t>Hội phụ nữ</t>
  </si>
  <si>
    <t>Trường trung cấp nghề</t>
  </si>
  <si>
    <t>Hội đông y</t>
  </si>
  <si>
    <t>Hội người mù</t>
  </si>
  <si>
    <t>Hội chữ thập đỏ</t>
  </si>
  <si>
    <t>Hội khuyến học</t>
  </si>
  <si>
    <t>Hội TNXP</t>
  </si>
  <si>
    <t>Hội người cao tuổi</t>
  </si>
  <si>
    <t>Tòa án</t>
  </si>
  <si>
    <t>Viện kiểm sát</t>
  </si>
  <si>
    <t>Thi hành án</t>
  </si>
  <si>
    <t>CHI GIAO THÔNG, KTTC</t>
  </si>
  <si>
    <t>Chi Quốc phòng</t>
  </si>
  <si>
    <t>Chi An Ninh</t>
  </si>
  <si>
    <t>Xã Mão Điền</t>
  </si>
  <si>
    <t>Xã Hoài Thượng</t>
  </si>
  <si>
    <t>Xã Song Hồ</t>
  </si>
  <si>
    <t>Xã Gia Đông</t>
  </si>
  <si>
    <t>Xã An Bình</t>
  </si>
  <si>
    <t>Xã Trạm Lộ</t>
  </si>
  <si>
    <t>Xã Ninh Xá</t>
  </si>
  <si>
    <t>Xã Nghĩa Đạo</t>
  </si>
  <si>
    <t>Xã Nguyệt Đức</t>
  </si>
  <si>
    <t>Xã Đại Đồng Thành</t>
  </si>
  <si>
    <t>Xã Đình Tổ</t>
  </si>
  <si>
    <t>Xã Trí Quả</t>
  </si>
  <si>
    <t>Xã Thanh Khương</t>
  </si>
  <si>
    <t>Xã Hà Mãn</t>
  </si>
  <si>
    <t>Xã Ngũ Thái</t>
  </si>
  <si>
    <t>Xã Xuân Lâm</t>
  </si>
  <si>
    <t>Xã Song Liễu</t>
  </si>
  <si>
    <t>Thị Trấn Hồ</t>
  </si>
  <si>
    <t>Biểu số 75/CK-NSNN</t>
  </si>
  <si>
    <t>Đơn vị: Triệu đồng</t>
  </si>
  <si>
    <t>Trong đó</t>
  </si>
  <si>
    <t>Chi thuộc nhiệm vụ của ngân sách cấp xã</t>
  </si>
  <si>
    <t>Ban QLDA</t>
  </si>
  <si>
    <t>Đường từ tỉnh lộ 276 đi tỉnh lộ 283, huyện Thuận Thành</t>
  </si>
  <si>
    <t>Dự toán năm 2022</t>
  </si>
  <si>
    <t>Thu phạt ATGT</t>
  </si>
  <si>
    <t>Thu phạt VPHC</t>
  </si>
  <si>
    <t>Tạo nguồn CCTL</t>
  </si>
  <si>
    <t>Kinh phí thực hiện nhiệm vụ đảm bảo an toàn giao thông</t>
  </si>
  <si>
    <t>Chi tạo nguồn tiền lương</t>
  </si>
  <si>
    <t>Chi tạo nguồn CCTL</t>
  </si>
  <si>
    <t>ĐVT: triệu đồng</t>
  </si>
  <si>
    <t>I.1</t>
  </si>
  <si>
    <t>Quản lý nhà nước</t>
  </si>
  <si>
    <t>I.2</t>
  </si>
  <si>
    <t>I.3</t>
  </si>
  <si>
    <t>Hội xã hội</t>
  </si>
  <si>
    <t>Hội Cựu giáo chức</t>
  </si>
  <si>
    <t>Hội Nạn nhân chất độc da cam</t>
  </si>
  <si>
    <t>Hội Luật Gia</t>
  </si>
  <si>
    <t>Hội VHNT</t>
  </si>
  <si>
    <t>I.4</t>
  </si>
  <si>
    <t>Đảng, đoàn thể</t>
  </si>
  <si>
    <t>I.5</t>
  </si>
  <si>
    <t>I.6</t>
  </si>
  <si>
    <t>I.7</t>
  </si>
  <si>
    <t>I.8</t>
  </si>
  <si>
    <t>I.9</t>
  </si>
  <si>
    <t>I.10</t>
  </si>
  <si>
    <t>Sự nghiệp kinh tế</t>
  </si>
  <si>
    <t>Thu NSĐP được hưởng theo phân cấp</t>
  </si>
  <si>
    <t>Số bổ sung cân đối từ ngân sách cấp trên</t>
  </si>
  <si>
    <t>Tổng chi cân đối NSĐP</t>
  </si>
  <si>
    <t>Thu NSĐP hưởng 100%</t>
  </si>
  <si>
    <t>Thu phân chia</t>
  </si>
  <si>
    <t>Trong đó: Phần NSĐP được hưởng</t>
  </si>
  <si>
    <t>2=3+5</t>
  </si>
  <si>
    <t>9=2+6+7+8</t>
  </si>
  <si>
    <t>( Dự toán trình HĐND huyện)</t>
  </si>
  <si>
    <t>TT</t>
  </si>
  <si>
    <t>Tổng</t>
  </si>
  <si>
    <t>Tổng cộng</t>
  </si>
  <si>
    <t xml:space="preserve">Bổ sung cân đối </t>
  </si>
  <si>
    <t>Bổ sung mục tiêu</t>
  </si>
  <si>
    <t>Kinh phí thường xuyên</t>
  </si>
  <si>
    <t>Hỗ trợ đãi ngộ đối với nghệ nhân trong lĩnh vực di sản văn hóa phí vật thể tỉnh Bắc Ninh theo Nghị quyết 213/2015/NQ-HDDND ngày 17/9/2015 của HĐND tỉnh</t>
  </si>
  <si>
    <t>Kinh phí đầu tư</t>
  </si>
  <si>
    <t>BS có mục tiêu để chi đầu tư theo phân cấp để hỗ trợ hạ tầng nông thôn</t>
  </si>
  <si>
    <t xml:space="preserve">Phân bổ từ tiền thu sử dụng đất </t>
  </si>
  <si>
    <t>Biểu 78/CK-NSNN</t>
  </si>
  <si>
    <t xml:space="preserve">Thuận Thành </t>
  </si>
  <si>
    <t xml:space="preserve">Ngân sách cấp huyện </t>
  </si>
  <si>
    <t xml:space="preserve">Ngân sách cấp xã </t>
  </si>
  <si>
    <t>Biểu 79/CK - NSNN</t>
  </si>
  <si>
    <t>Đường Đại Đồng Thành đi QL 17 kéo dài đoạn từ Cầu Thanh Hoài đi Đông Cốc</t>
  </si>
  <si>
    <t>Cải tạo trục đường giao thông liên xã thị trấn Hồ đi Mão Điền, huyện Thuận Thành</t>
  </si>
  <si>
    <t>Cải tạo, nâng cấp tuyến đường trục xã Mão Điền đoạn Cầu Thờ Ao Bản Đạo và các tuyến nhánh</t>
  </si>
  <si>
    <t>Trường Tiểu học Nguyệt Đức, huyện Thuận Thành. Hạng mục: Phụ trợ</t>
  </si>
  <si>
    <t>Đường từ đường Siêu Loại kéo dài vào trường Vũ Kiệt mới</t>
  </si>
  <si>
    <t>Khu công viên cây xanh Trung tâm Thị trấn Hồ, huyện Thuận Thành</t>
  </si>
  <si>
    <t>Cải tạo, sửa chữa sân, vườn, cảnh quan trụ sở làm việc của Huyện Ủy</t>
  </si>
  <si>
    <t>DỰ TOÁN CHI NGÂN SÁCH CẤP HUYỆN THEO TỪNG LĨNH VỰC NĂM 2022</t>
  </si>
  <si>
    <t>CÂN ĐỐI NGÂN SÁCH HUYỆN NĂM 2023</t>
  </si>
  <si>
    <t>Ước TH năm 2022</t>
  </si>
  <si>
    <t>Dự toán năm 2023</t>
  </si>
  <si>
    <t>Nộp ngân sách cấp trên</t>
  </si>
  <si>
    <t>CÂN ĐỐI NGUỒN THU, CHI DỰ TOÁN NGÂN SÁCH CẤP HUYỆN VÀ NGÂN SÁCH XÃ NĂM 2023</t>
  </si>
  <si>
    <t>Ước thực hiện năm 2022</t>
  </si>
  <si>
    <t>DỰ TOÁN THU NGÂN SÁCH NHÀ NƯỚC NĂM 2023</t>
  </si>
  <si>
    <t>VÀ CHI NGÂN SÁCH XÃ THEO CƠ CẤU CHI NĂM 2023</t>
  </si>
  <si>
    <t>Kiến thiết thị chính</t>
  </si>
  <si>
    <t>Tiết kiệm gia tăng 10% dự toán 2023/2022</t>
  </si>
  <si>
    <t>Kinh phí hợp đồng lao động giáo viên MN, TH, THCS, GDTX và nhân viên nấu ăn các cơ sở GD mầm non công lập ( theo NQ số 138/NQ -HĐND ngày 7/7/2022) kỳ 2 năm học 2022-2023</t>
  </si>
  <si>
    <t>Sự nghiệp Y tế ( Đóng BHYT cho các đối tượng tăng thêm)</t>
  </si>
  <si>
    <t>Đảm bảo xã hội ( Các đối tượng BTXH tăng thêm)</t>
  </si>
  <si>
    <t>Vốn ủy thác qua ngân hàng chính sách</t>
  </si>
  <si>
    <t>Hỗ trợ sản xuất nông nghiệp</t>
  </si>
  <si>
    <t>Kinh phí thực hiện chính sách cho công an xã, thị trấn bán chuyên trách, bảo vệ tổ dân phòng tự quản khu dân cư trên địa bàn tỉnh Bắc Ninh ( theo NQ số 20/2021/NQ - HĐND)</t>
  </si>
  <si>
    <t>Kinh phí chi trả trợ cấp tăng thêm do điều chỉnh mức chi hàng tháng đối với cán bộ xã, phường, thị trấn đã nghỉ việc ( theo TT số 02/TT - BNV ngày 29/01/2022)</t>
  </si>
  <si>
    <t>Sự nghiệp kiến thiết thị chính</t>
  </si>
  <si>
    <t xml:space="preserve">DỰ TOÁN CHI NGÂN SÁCH CẤP HUYỆN TỪNG CƠ QUAN, TỔ CHỨC THEO LĨNH VỰC </t>
  </si>
  <si>
    <t>NĂM 2023 ( KHÔNG BAO GỒM CHI ĐẦU TƯ)</t>
  </si>
  <si>
    <t>Chi Dự phòng</t>
  </si>
  <si>
    <t>Chi bổ sung quỹ dự trữ tài chính (1)</t>
  </si>
  <si>
    <t>Chi chương trình MTQG</t>
  </si>
  <si>
    <t>Chi chuyển nguồn sang ngân sách năm sau</t>
  </si>
  <si>
    <t>Các cơ quan, tổ chức</t>
  </si>
  <si>
    <t>HĐND huyện</t>
  </si>
  <si>
    <t>Phòng Nông nghiệp và PTNT</t>
  </si>
  <si>
    <t>Phòng Tài chính - Kế hoạch</t>
  </si>
  <si>
    <t>Phòng Nội Vụ</t>
  </si>
  <si>
    <t>Phòng LĐTB - XH</t>
  </si>
  <si>
    <t>Phòng Y Tế</t>
  </si>
  <si>
    <t>Phòng TNMT</t>
  </si>
  <si>
    <t>Trung tâm chính trị</t>
  </si>
  <si>
    <t>Mặt trận TQ</t>
  </si>
  <si>
    <t>Huyện đoàn</t>
  </si>
  <si>
    <t>Hội Nông dân</t>
  </si>
  <si>
    <t>Hội cựu chiến binh</t>
  </si>
  <si>
    <t>Đơn vị sự nghiệp</t>
  </si>
  <si>
    <t>Trung tâm VHTT và truyền thông</t>
  </si>
  <si>
    <t>Trung tâm dịch vụ NN</t>
  </si>
  <si>
    <t>Sự nghiệp GD</t>
  </si>
  <si>
    <t>Hội chiến sỹ CM bị địch bắt tù đầy</t>
  </si>
  <si>
    <t>Các cơ quan tư pháp</t>
  </si>
  <si>
    <t>Ban Quản lý dự án xây dựng</t>
  </si>
  <si>
    <t>Ban chỉ huy quân sự</t>
  </si>
  <si>
    <t>Công an</t>
  </si>
  <si>
    <t xml:space="preserve">Ngân hàng chính sách XH </t>
  </si>
  <si>
    <t>Quỹ hỗ trợ nông dân</t>
  </si>
  <si>
    <t xml:space="preserve">Các nhiệm vụ chung </t>
  </si>
  <si>
    <t xml:space="preserve">SNGD </t>
  </si>
  <si>
    <t>Tiết kiệm chi TX</t>
  </si>
  <si>
    <t xml:space="preserve">UBND HUYỆN THUẬN THÀNH                                                                                                                              </t>
  </si>
  <si>
    <t>DỰ TOÁN CHI THƯỜNG XUYÊN CỦA CÁC CƠ QUAN, ĐƠN VỊ KHỐI HUYỆN NĂM 2023</t>
  </si>
  <si>
    <t>Số TT</t>
  </si>
  <si>
    <t>Tổng DT 2023</t>
  </si>
  <si>
    <t>Nguồn tỉnh bổ sung mục tiêu</t>
  </si>
  <si>
    <t>Nguồn chi TX ( đã trừ TK)</t>
  </si>
  <si>
    <t>Chi QP</t>
  </si>
  <si>
    <t>Chi AN</t>
  </si>
  <si>
    <t>SN GD -  ĐT</t>
  </si>
  <si>
    <t>SN Y tế</t>
  </si>
  <si>
    <t>SN văn hóa</t>
  </si>
  <si>
    <t>SN PTTH</t>
  </si>
  <si>
    <t>SN Thể thao</t>
  </si>
  <si>
    <t>Đảm bảo XH</t>
  </si>
  <si>
    <t>SN KTế</t>
  </si>
  <si>
    <t>SN Môi trường</t>
  </si>
  <si>
    <t>QL hành chính</t>
  </si>
  <si>
    <t>Trong đó (chưa trừ tiết kiệm)</t>
  </si>
  <si>
    <t xml:space="preserve">Tiết kiệm 10% </t>
  </si>
  <si>
    <t>Khác</t>
  </si>
  <si>
    <t>TX</t>
  </si>
  <si>
    <t>Lương</t>
  </si>
  <si>
    <t>Hoạt động</t>
  </si>
  <si>
    <t>Hỗ trợ HĐ chi bộ</t>
  </si>
  <si>
    <t>HĐ</t>
  </si>
  <si>
    <t>Định mức tỉnh giao</t>
  </si>
  <si>
    <t>Tổng chi thường xuyên phân bổ</t>
  </si>
  <si>
    <t>Các cơ quan, đơn vị</t>
  </si>
  <si>
    <t>Sự nghiệp giáo dục</t>
  </si>
  <si>
    <t>Phòng Giáo dục</t>
  </si>
  <si>
    <t>Các trường MN, TH, THCS</t>
  </si>
  <si>
    <t>Các đơn vị khác</t>
  </si>
  <si>
    <t>Ngân hàng chính sách XH huyện</t>
  </si>
  <si>
    <t>Các nhiệm vụ chung</t>
  </si>
  <si>
    <t>Sự nghiệ kinh tế ( SXNN)</t>
  </si>
  <si>
    <t>Tạo nguồn CCTL SNGD</t>
  </si>
  <si>
    <t>Huyện giao tăng hơn so với tỉnh 2.4 tỷ</t>
  </si>
  <si>
    <t>Tổng chưa có khác</t>
  </si>
  <si>
    <t>Tổng theo pháp lệnh</t>
  </si>
  <si>
    <t>KHác</t>
  </si>
  <si>
    <t>Tổng TX</t>
  </si>
  <si>
    <t xml:space="preserve">UBND HUYỆN THUẬN THÀNH                                                                                                                                                                                                                                                                     </t>
  </si>
  <si>
    <t>DỰ TOÁN THU, CHI NGÂN SÁCH ĐỊA PHƯƠNG VÀ SỐ BỔ SUNG CÂN ĐỐI TỪ NGÂN SÁCH CẤP TRÊN CHO NGÂN SÁCH CẤP DƯỚI NĂM 2023</t>
  </si>
  <si>
    <t>Đơn vị: Tr. đồng</t>
  </si>
  <si>
    <t>Biểu số 77/CK-NSNN</t>
  </si>
  <si>
    <t>DỰ TOÁN BỔ SUNG CÓ MỤC TIÊU  TỪ NGÂN SÁCH HUYỆN CHO NGÂN SÁCH XÃ NĂM 2023</t>
  </si>
  <si>
    <t>DỰ TOÁN BỔ SUNG CÓ MỤC TIÊU TỪ NGÂN SÁCH CẤP TỈNH CHO NGÂN SÁCH CẤP HUYỆN VÀ NGÂN SÁCH XÃ NĂM 2023</t>
  </si>
  <si>
    <t>Bổ sung có mục tiêu vốn đầu tư theo kế hoạch trung hạn</t>
  </si>
  <si>
    <t xml:space="preserve">Phá dỡ công trình xây dựng hiện trạng đã xuống cấp (khu ki ốt bách hóa chợ Dâu, khu đài tưởng niệm ngã tư Đông Côi cũ) </t>
  </si>
  <si>
    <t>DỰ TOÁN CHI ĐẦU TƯ PHÁT TRIỂN ( XDCBTT) CỦA NGÂN SÁCH CẤP HUYỆN CHO TỪNG CƠ QUAN, TỔ CHỨC THEO LĨNH VỰC NĂM 2023</t>
  </si>
  <si>
    <t>Văn phòng huyện ủy - HĐND - UBND</t>
  </si>
  <si>
    <t>Thi công và lắp đặt hệ thống mạng lan, hệ thống Camera trụ sở Huyện Ủy</t>
  </si>
  <si>
    <t>Cải tạo, sửa chữa khu chi cục thuế cũ ngã tư đông côi để phục vụ cho Trung tâm cứu trợ trẻ em tàn tật; Hội Đông y - Châm cứu và Phục hồi chức năng huyện Thuận Thành chuyển đến</t>
  </si>
  <si>
    <t>Cải tạo, sửa chữa Trung tâm Chính trị huyện Thuận Thành, tỉnh Bắc Ninh</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</si>
</sst>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_-* #,##0_-;\-* #,##0_-;_-* &quot;-&quot;??_-;_-@_-"/>
    <numFmt numFmtId="169" formatCode="#,##0.000"/>
    <numFmt numFmtId="170" formatCode="_-* #,##0.00\ _₫_-;\-* #,##0.00\ _₫_-;_-* &quot;-&quot;??\ _₫_-;_-@_-"/>
    <numFmt numFmtId="171" formatCode="#,##0.0000"/>
  </numFmts>
  <fonts count="62">
    <font>
      <sz val="12"/>
      <name val="Times New Roman"/>
      <family val="0"/>
    </font>
    <font>
      <b/>
      <sz val="12"/>
      <name val="Times New Roman"/>
      <family val="1"/>
    </font>
    <font>
      <b/>
      <sz val="14"/>
      <name val="Times New Roman"/>
      <family val="1"/>
    </font>
    <font>
      <sz val="14"/>
      <name val="Times New Roman"/>
      <family val="1"/>
    </font>
    <font>
      <b/>
      <i/>
      <sz val="14"/>
      <name val="Times New Roman"/>
      <family val="1"/>
    </font>
    <font>
      <sz val="8"/>
      <name val="Times New Roman"/>
      <family val="1"/>
    </font>
    <font>
      <b/>
      <i/>
      <sz val="12"/>
      <name val="Times New Roman"/>
      <family val="1"/>
    </font>
    <font>
      <i/>
      <sz val="12"/>
      <name val="Times New Roman"/>
      <family val="1"/>
    </font>
    <font>
      <b/>
      <sz val="10"/>
      <name val="Times New Roman"/>
      <family val="1"/>
    </font>
    <font>
      <b/>
      <sz val="11"/>
      <name val="Times New Roman"/>
      <family val="1"/>
    </font>
    <font>
      <sz val="11"/>
      <name val="Times New Roman"/>
      <family val="1"/>
    </font>
    <font>
      <i/>
      <sz val="14"/>
      <name val="Times New Roman"/>
      <family val="1"/>
    </font>
    <font>
      <b/>
      <sz val="13"/>
      <name val="Times New Roman"/>
      <family val="1"/>
    </font>
    <font>
      <i/>
      <sz val="13"/>
      <name val="Times New Roman"/>
      <family val="1"/>
    </font>
    <font>
      <sz val="12"/>
      <color indexed="8"/>
      <name val="Times New Roman"/>
      <family val="1"/>
    </font>
    <font>
      <sz val="12"/>
      <name val=".VnTime"/>
      <family val="2"/>
    </font>
    <font>
      <sz val="13"/>
      <name val="Times New Roman"/>
      <family val="1"/>
    </font>
    <font>
      <sz val="10"/>
      <name val="Arial"/>
      <family val="2"/>
    </font>
    <font>
      <sz val="11"/>
      <color indexed="8"/>
      <name val="Calibri"/>
      <family val="2"/>
    </font>
    <font>
      <sz val="11"/>
      <color indexed="8"/>
      <name val="Arial"/>
      <family val="2"/>
    </font>
    <font>
      <sz val="10"/>
      <name val="MS Sans Serif"/>
      <family val="2"/>
    </font>
    <font>
      <sz val="10"/>
      <name val=".VnTime"/>
      <family val="2"/>
    </font>
    <font>
      <b/>
      <sz val="9"/>
      <name val="Tahoma"/>
      <family val="2"/>
    </font>
    <font>
      <sz val="9"/>
      <name val="Tahoma"/>
      <family val="2"/>
    </font>
    <font>
      <b/>
      <sz val="10"/>
      <name val="Arial"/>
      <family val="2"/>
    </font>
    <font>
      <i/>
      <sz val="10"/>
      <name val="Arial"/>
      <family val="2"/>
    </font>
    <font>
      <b/>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style="hair"/>
    </border>
    <border>
      <left style="thin"/>
      <right style="thin"/>
      <top>
        <color indexed="63"/>
      </top>
      <bottom style="thin"/>
    </border>
    <border>
      <left style="thin"/>
      <right style="thin"/>
      <top style="thin"/>
      <bottom style="hair"/>
    </border>
    <border>
      <left style="thin"/>
      <right>
        <color indexed="63"/>
      </right>
      <top style="hair"/>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style="thin"/>
      <right style="thin"/>
      <top>
        <color indexed="63"/>
      </top>
      <bottom>
        <color indexed="63"/>
      </bottom>
    </border>
    <border>
      <left/>
      <right/>
      <top style="hair"/>
      <bottom style="thin"/>
    </border>
    <border>
      <left style="thin"/>
      <right style="thin"/>
      <top style="thin"/>
      <bottom>
        <color indexed="63"/>
      </bottom>
    </border>
    <border>
      <left>
        <color indexed="63"/>
      </left>
      <right>
        <color indexed="63"/>
      </right>
      <top>
        <color indexed="63"/>
      </top>
      <bottom style="thin"/>
    </border>
    <border>
      <left style="thin"/>
      <right/>
      <top style="thin"/>
      <bottom style="thin"/>
    </border>
    <border>
      <left/>
      <right/>
      <top style="thin"/>
      <bottom style="thin"/>
    </border>
    <border>
      <left>
        <color indexed="63"/>
      </left>
      <right style="thin"/>
      <top style="thin"/>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7" fillId="0" borderId="0" applyFont="0" applyFill="0" applyBorder="0" applyAlignment="0" applyProtection="0"/>
    <xf numFmtId="170" fontId="19"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0" fontId="18"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3" fillId="0" borderId="0">
      <alignment/>
      <protection/>
    </xf>
    <xf numFmtId="0" fontId="55" fillId="0" borderId="6" applyNumberFormat="0" applyFill="0" applyAlignment="0" applyProtection="0"/>
    <xf numFmtId="0" fontId="56" fillId="31" borderId="0" applyNumberFormat="0" applyBorder="0" applyAlignment="0" applyProtection="0"/>
    <xf numFmtId="0" fontId="17" fillId="0" borderId="0">
      <alignment/>
      <protection/>
    </xf>
    <xf numFmtId="0" fontId="44" fillId="0" borderId="0">
      <alignment/>
      <protection/>
    </xf>
    <xf numFmtId="0" fontId="44" fillId="0" borderId="0">
      <alignment/>
      <protection/>
    </xf>
    <xf numFmtId="0" fontId="17" fillId="0" borderId="0">
      <alignment/>
      <protection/>
    </xf>
    <xf numFmtId="0" fontId="17" fillId="0" borderId="0">
      <alignment/>
      <protection/>
    </xf>
    <xf numFmtId="0" fontId="17" fillId="0" borderId="0">
      <alignment/>
      <protection/>
    </xf>
    <xf numFmtId="0" fontId="18" fillId="0" borderId="0">
      <alignment/>
      <protection/>
    </xf>
    <xf numFmtId="0" fontId="20" fillId="0" borderId="0">
      <alignment/>
      <protection/>
    </xf>
    <xf numFmtId="0" fontId="15" fillId="0" borderId="0">
      <alignment/>
      <protection/>
    </xf>
    <xf numFmtId="0" fontId="21"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19"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68">
    <xf numFmtId="0" fontId="0" fillId="0" borderId="0" xfId="0" applyAlignment="1">
      <alignment/>
    </xf>
    <xf numFmtId="0" fontId="1" fillId="0" borderId="0" xfId="0" applyFont="1" applyAlignment="1">
      <alignment/>
    </xf>
    <xf numFmtId="0" fontId="0" fillId="0" borderId="0" xfId="0" applyAlignment="1">
      <alignment horizontal="center" vertical="center" wrapText="1"/>
    </xf>
    <xf numFmtId="0" fontId="1" fillId="0" borderId="0" xfId="0" applyFont="1" applyAlignment="1">
      <alignment horizontal="center"/>
    </xf>
    <xf numFmtId="0" fontId="0" fillId="0" borderId="10" xfId="0" applyBorder="1" applyAlignment="1" quotePrefix="1">
      <alignment horizontal="center"/>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xf>
    <xf numFmtId="0" fontId="1" fillId="0" borderId="12" xfId="0" applyFont="1" applyBorder="1" applyAlignment="1">
      <alignment horizontal="center" vertical="center" wrapText="1"/>
    </xf>
    <xf numFmtId="0" fontId="3" fillId="0" borderId="0" xfId="0" applyFont="1" applyAlignment="1">
      <alignment/>
    </xf>
    <xf numFmtId="165" fontId="0" fillId="0" borderId="10" xfId="42" applyNumberFormat="1" applyFont="1" applyBorder="1" applyAlignment="1">
      <alignment/>
    </xf>
    <xf numFmtId="164" fontId="0" fillId="0" borderId="13" xfId="42" applyNumberFormat="1" applyFont="1" applyBorder="1" applyAlignment="1">
      <alignment/>
    </xf>
    <xf numFmtId="164" fontId="0" fillId="0" borderId="10" xfId="42" applyNumberFormat="1" applyFont="1" applyBorder="1" applyAlignment="1">
      <alignment/>
    </xf>
    <xf numFmtId="0" fontId="0" fillId="0" borderId="13" xfId="0" applyBorder="1" applyAlignment="1">
      <alignment/>
    </xf>
    <xf numFmtId="0" fontId="1" fillId="0" borderId="12" xfId="0" applyFont="1" applyBorder="1" applyAlignment="1">
      <alignment horizontal="center"/>
    </xf>
    <xf numFmtId="0" fontId="1" fillId="0" borderId="14" xfId="0" applyFont="1" applyBorder="1" applyAlignment="1">
      <alignment/>
    </xf>
    <xf numFmtId="0" fontId="1" fillId="0" borderId="0" xfId="0" applyFont="1" applyAlignment="1">
      <alignment/>
    </xf>
    <xf numFmtId="0" fontId="0" fillId="0" borderId="13" xfId="0" applyBorder="1" applyAlignment="1">
      <alignment horizontal="center"/>
    </xf>
    <xf numFmtId="0" fontId="2" fillId="0" borderId="0" xfId="0" applyFont="1" applyAlignment="1">
      <alignment/>
    </xf>
    <xf numFmtId="0" fontId="4" fillId="0" borderId="0" xfId="0" applyFont="1" applyAlignment="1">
      <alignment/>
    </xf>
    <xf numFmtId="0" fontId="7" fillId="0" borderId="0" xfId="0" applyFont="1" applyAlignment="1">
      <alignment horizontal="center"/>
    </xf>
    <xf numFmtId="0" fontId="8" fillId="0" borderId="0" xfId="0" applyFont="1" applyAlignment="1">
      <alignment horizontal="center" vertical="center" wrapText="1"/>
    </xf>
    <xf numFmtId="0" fontId="8" fillId="0" borderId="12" xfId="0" applyFont="1" applyBorder="1" applyAlignment="1">
      <alignment horizontal="center" vertical="center" wrapText="1"/>
    </xf>
    <xf numFmtId="0" fontId="0" fillId="0" borderId="12" xfId="0" applyBorder="1" applyAlignment="1">
      <alignment horizontal="center"/>
    </xf>
    <xf numFmtId="166" fontId="0" fillId="0" borderId="10" xfId="0" applyNumberFormat="1" applyBorder="1" applyAlignment="1">
      <alignment horizontal="right"/>
    </xf>
    <xf numFmtId="0" fontId="0" fillId="0" borderId="10" xfId="0" applyFont="1" applyBorder="1" applyAlignment="1">
      <alignment/>
    </xf>
    <xf numFmtId="0" fontId="0" fillId="0" borderId="0" xfId="0" applyFont="1" applyAlignment="1">
      <alignment/>
    </xf>
    <xf numFmtId="0" fontId="7" fillId="0" borderId="0" xfId="0" applyFont="1" applyAlignment="1">
      <alignment/>
    </xf>
    <xf numFmtId="0" fontId="0" fillId="0" borderId="15" xfId="0" applyBorder="1" applyAlignment="1">
      <alignment/>
    </xf>
    <xf numFmtId="3" fontId="1" fillId="0" borderId="12" xfId="0" applyNumberFormat="1" applyFont="1" applyBorder="1" applyAlignment="1">
      <alignment/>
    </xf>
    <xf numFmtId="165" fontId="0" fillId="0" borderId="13" xfId="42" applyNumberFormat="1" applyFont="1" applyBorder="1" applyAlignment="1">
      <alignment/>
    </xf>
    <xf numFmtId="165" fontId="0" fillId="0" borderId="10" xfId="42" applyNumberFormat="1" applyFont="1" applyBorder="1" applyAlignment="1">
      <alignment/>
    </xf>
    <xf numFmtId="0" fontId="0" fillId="0" borderId="16" xfId="0" applyBorder="1" applyAlignment="1">
      <alignment/>
    </xf>
    <xf numFmtId="0" fontId="1" fillId="0" borderId="12" xfId="0" applyFont="1" applyBorder="1" applyAlignment="1">
      <alignment/>
    </xf>
    <xf numFmtId="165" fontId="1" fillId="0" borderId="12" xfId="42" applyNumberFormat="1" applyFont="1" applyBorder="1" applyAlignment="1">
      <alignment/>
    </xf>
    <xf numFmtId="164" fontId="1" fillId="0" borderId="12" xfId="42" applyNumberFormat="1" applyFont="1" applyBorder="1" applyAlignment="1">
      <alignment/>
    </xf>
    <xf numFmtId="0" fontId="0" fillId="0" borderId="17" xfId="0" applyBorder="1" applyAlignment="1">
      <alignment/>
    </xf>
    <xf numFmtId="0" fontId="0" fillId="0" borderId="18" xfId="0" applyBorder="1" applyAlignment="1">
      <alignment horizontal="center"/>
    </xf>
    <xf numFmtId="0" fontId="0" fillId="0" borderId="19" xfId="0" applyFont="1" applyBorder="1" applyAlignment="1">
      <alignment/>
    </xf>
    <xf numFmtId="165" fontId="0" fillId="0" borderId="18" xfId="42" applyNumberFormat="1" applyFont="1" applyBorder="1" applyAlignment="1">
      <alignment/>
    </xf>
    <xf numFmtId="0" fontId="0" fillId="0" borderId="18" xfId="0" applyBorder="1" applyAlignment="1">
      <alignment/>
    </xf>
    <xf numFmtId="0" fontId="0" fillId="0" borderId="13" xfId="0" applyBorder="1" applyAlignment="1" quotePrefix="1">
      <alignment horizontal="center"/>
    </xf>
    <xf numFmtId="0" fontId="0" fillId="0" borderId="18" xfId="0" applyBorder="1" applyAlignment="1" quotePrefix="1">
      <alignment horizontal="center"/>
    </xf>
    <xf numFmtId="165" fontId="0" fillId="0" borderId="20" xfId="42" applyNumberFormat="1" applyFont="1" applyBorder="1" applyAlignment="1">
      <alignment/>
    </xf>
    <xf numFmtId="165" fontId="0" fillId="0" borderId="18" xfId="42" applyNumberFormat="1" applyFont="1" applyBorder="1" applyAlignment="1">
      <alignment/>
    </xf>
    <xf numFmtId="3" fontId="0" fillId="33" borderId="13" xfId="0" applyNumberFormat="1" applyFont="1" applyFill="1" applyBorder="1" applyAlignment="1">
      <alignment horizontal="right" vertical="center" wrapText="1"/>
    </xf>
    <xf numFmtId="165" fontId="0" fillId="0" borderId="13" xfId="42" applyNumberFormat="1" applyFont="1" applyBorder="1" applyAlignment="1">
      <alignment/>
    </xf>
    <xf numFmtId="3" fontId="0" fillId="33" borderId="10" xfId="0" applyNumberFormat="1" applyFont="1" applyFill="1" applyBorder="1" applyAlignment="1">
      <alignment horizontal="right" vertical="center" wrapText="1"/>
    </xf>
    <xf numFmtId="3" fontId="0" fillId="33" borderId="18" xfId="0" applyNumberFormat="1" applyFont="1" applyFill="1" applyBorder="1" applyAlignment="1">
      <alignment horizontal="right" vertical="center" wrapText="1"/>
    </xf>
    <xf numFmtId="165" fontId="0" fillId="0" borderId="0" xfId="0" applyNumberFormat="1" applyAlignment="1">
      <alignment/>
    </xf>
    <xf numFmtId="165" fontId="1" fillId="0" borderId="0" xfId="0" applyNumberFormat="1" applyFont="1" applyAlignment="1">
      <alignment/>
    </xf>
    <xf numFmtId="164" fontId="0" fillId="0" borderId="11" xfId="42" applyNumberFormat="1" applyFont="1" applyBorder="1" applyAlignment="1">
      <alignment/>
    </xf>
    <xf numFmtId="164" fontId="0" fillId="0" borderId="18" xfId="42" applyNumberFormat="1" applyFont="1" applyBorder="1" applyAlignment="1">
      <alignment/>
    </xf>
    <xf numFmtId="164" fontId="0" fillId="0" borderId="12" xfId="42" applyNumberFormat="1" applyFont="1" applyBorder="1" applyAlignment="1">
      <alignment/>
    </xf>
    <xf numFmtId="0" fontId="0" fillId="0" borderId="20" xfId="0" applyBorder="1" applyAlignment="1">
      <alignment/>
    </xf>
    <xf numFmtId="41" fontId="14" fillId="0" borderId="13" xfId="0" applyNumberFormat="1" applyFont="1" applyBorder="1" applyAlignment="1">
      <alignment horizontal="right" vertical="center" wrapText="1"/>
    </xf>
    <xf numFmtId="0" fontId="0" fillId="0" borderId="15" xfId="0" applyBorder="1" applyAlignment="1">
      <alignment horizontal="center"/>
    </xf>
    <xf numFmtId="0" fontId="0" fillId="0" borderId="11" xfId="0" applyBorder="1" applyAlignment="1">
      <alignment horizontal="center"/>
    </xf>
    <xf numFmtId="0" fontId="0" fillId="0" borderId="14" xfId="0" applyBorder="1" applyAlignment="1">
      <alignment/>
    </xf>
    <xf numFmtId="41" fontId="0" fillId="33" borderId="13" xfId="0" applyNumberFormat="1" applyFont="1" applyFill="1" applyBorder="1" applyAlignment="1">
      <alignment horizontal="right" vertical="center" wrapText="1"/>
    </xf>
    <xf numFmtId="41" fontId="0" fillId="33" borderId="10" xfId="0" applyNumberFormat="1" applyFont="1" applyFill="1" applyBorder="1" applyAlignment="1">
      <alignment horizontal="right" vertical="center" wrapText="1"/>
    </xf>
    <xf numFmtId="165" fontId="0" fillId="0" borderId="20" xfId="42" applyNumberFormat="1" applyFont="1" applyBorder="1" applyAlignment="1">
      <alignment/>
    </xf>
    <xf numFmtId="165" fontId="0" fillId="0" borderId="11" xfId="42" applyNumberFormat="1" applyFont="1" applyBorder="1" applyAlignment="1">
      <alignment/>
    </xf>
    <xf numFmtId="41" fontId="0" fillId="33" borderId="15" xfId="0" applyNumberFormat="1" applyFont="1" applyFill="1" applyBorder="1" applyAlignment="1">
      <alignment horizontal="right" vertical="center" wrapText="1"/>
    </xf>
    <xf numFmtId="165" fontId="0" fillId="0" borderId="15" xfId="42" applyNumberFormat="1" applyFont="1" applyBorder="1" applyAlignment="1">
      <alignment/>
    </xf>
    <xf numFmtId="165" fontId="0" fillId="0" borderId="14" xfId="42" applyNumberFormat="1" applyFont="1" applyBorder="1" applyAlignment="1">
      <alignment/>
    </xf>
    <xf numFmtId="166" fontId="0" fillId="0" borderId="13" xfId="0" applyNumberFormat="1" applyBorder="1" applyAlignment="1">
      <alignment horizontal="right"/>
    </xf>
    <xf numFmtId="166" fontId="1" fillId="0" borderId="12" xfId="0" applyNumberFormat="1" applyFont="1" applyBorder="1" applyAlignment="1">
      <alignment horizontal="right"/>
    </xf>
    <xf numFmtId="0" fontId="0" fillId="0" borderId="13" xfId="0" applyFont="1" applyBorder="1" applyAlignment="1">
      <alignment/>
    </xf>
    <xf numFmtId="41" fontId="1" fillId="0" borderId="12" xfId="0" applyNumberFormat="1" applyFont="1" applyBorder="1" applyAlignment="1">
      <alignment horizontal="right"/>
    </xf>
    <xf numFmtId="41" fontId="0" fillId="0" borderId="13" xfId="0" applyNumberFormat="1" applyBorder="1" applyAlignment="1">
      <alignment/>
    </xf>
    <xf numFmtId="41" fontId="0" fillId="0" borderId="10" xfId="0" applyNumberFormat="1" applyBorder="1" applyAlignment="1">
      <alignment/>
    </xf>
    <xf numFmtId="41" fontId="0" fillId="0" borderId="10" xfId="42" applyNumberFormat="1" applyFont="1" applyBorder="1" applyAlignment="1">
      <alignment/>
    </xf>
    <xf numFmtId="41" fontId="1" fillId="0" borderId="12" xfId="0" applyNumberFormat="1" applyFont="1" applyBorder="1" applyAlignment="1">
      <alignment/>
    </xf>
    <xf numFmtId="0" fontId="0" fillId="0" borderId="20" xfId="0" applyBorder="1" applyAlignment="1">
      <alignment horizontal="center"/>
    </xf>
    <xf numFmtId="3" fontId="0" fillId="0" borderId="20" xfId="0" applyNumberFormat="1" applyBorder="1" applyAlignment="1">
      <alignment/>
    </xf>
    <xf numFmtId="0" fontId="1" fillId="0" borderId="20" xfId="0" applyFont="1" applyFill="1" applyBorder="1" applyAlignment="1">
      <alignment/>
    </xf>
    <xf numFmtId="168" fontId="16" fillId="34" borderId="10" xfId="46" applyNumberFormat="1" applyFont="1" applyFill="1" applyBorder="1" applyAlignment="1">
      <alignment vertical="center" wrapText="1"/>
    </xf>
    <xf numFmtId="0" fontId="1" fillId="34" borderId="12" xfId="0" applyFont="1" applyFill="1" applyBorder="1" applyAlignment="1">
      <alignment horizontal="center" vertical="center" wrapText="1"/>
    </xf>
    <xf numFmtId="0" fontId="9" fillId="34" borderId="12" xfId="71" applyFont="1" applyFill="1" applyBorder="1" applyAlignment="1">
      <alignment wrapText="1"/>
      <protection/>
    </xf>
    <xf numFmtId="3" fontId="1" fillId="0" borderId="0" xfId="0" applyNumberFormat="1" applyFont="1" applyAlignment="1">
      <alignment/>
    </xf>
    <xf numFmtId="0" fontId="1"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0" fillId="0" borderId="12" xfId="0" applyBorder="1" applyAlignment="1">
      <alignment horizontal="center" vertical="center"/>
    </xf>
    <xf numFmtId="41" fontId="0" fillId="0" borderId="12" xfId="0" applyNumberFormat="1" applyBorder="1" applyAlignment="1">
      <alignment vertical="center"/>
    </xf>
    <xf numFmtId="41" fontId="1" fillId="0" borderId="12" xfId="0" applyNumberFormat="1" applyFont="1" applyBorder="1" applyAlignment="1">
      <alignment horizontal="center" vertical="center"/>
    </xf>
    <xf numFmtId="41" fontId="1" fillId="0" borderId="12" xfId="0" applyNumberFormat="1" applyFont="1" applyBorder="1" applyAlignment="1">
      <alignment vertical="center"/>
    </xf>
    <xf numFmtId="41" fontId="1" fillId="0" borderId="12" xfId="0" applyNumberFormat="1" applyFont="1" applyBorder="1" applyAlignment="1">
      <alignment vertical="center"/>
    </xf>
    <xf numFmtId="41" fontId="1" fillId="0" borderId="12" xfId="0" applyNumberFormat="1" applyFont="1" applyBorder="1" applyAlignment="1">
      <alignment horizontal="center" vertical="center"/>
    </xf>
    <xf numFmtId="0" fontId="1" fillId="0" borderId="0" xfId="0" applyFont="1" applyAlignment="1">
      <alignment vertical="center"/>
    </xf>
    <xf numFmtId="165" fontId="0" fillId="0" borderId="0" xfId="42" applyNumberFormat="1" applyFont="1" applyAlignment="1">
      <alignment/>
    </xf>
    <xf numFmtId="168" fontId="12" fillId="0" borderId="0" xfId="46" applyNumberFormat="1" applyFont="1" applyFill="1" applyAlignment="1">
      <alignment horizontal="left"/>
    </xf>
    <xf numFmtId="168" fontId="16" fillId="0" borderId="0" xfId="46" applyNumberFormat="1" applyFont="1" applyFill="1" applyAlignment="1">
      <alignment/>
    </xf>
    <xf numFmtId="168" fontId="12" fillId="0" borderId="0" xfId="46" applyNumberFormat="1" applyFont="1" applyFill="1" applyAlignment="1">
      <alignment/>
    </xf>
    <xf numFmtId="168" fontId="16" fillId="0" borderId="0" xfId="46" applyNumberFormat="1" applyFont="1" applyFill="1" applyAlignment="1">
      <alignment horizontal="center"/>
    </xf>
    <xf numFmtId="168" fontId="16" fillId="0" borderId="0" xfId="46" applyNumberFormat="1" applyFont="1" applyFill="1" applyAlignment="1">
      <alignment horizontal="right"/>
    </xf>
    <xf numFmtId="168" fontId="12" fillId="0" borderId="12" xfId="46" applyNumberFormat="1" applyFont="1" applyFill="1" applyBorder="1" applyAlignment="1">
      <alignment horizontal="center"/>
    </xf>
    <xf numFmtId="168" fontId="12" fillId="0" borderId="0" xfId="46" applyNumberFormat="1" applyFont="1" applyFill="1" applyAlignment="1">
      <alignment horizontal="center"/>
    </xf>
    <xf numFmtId="168" fontId="12" fillId="0" borderId="12" xfId="46" applyNumberFormat="1" applyFont="1" applyFill="1" applyBorder="1" applyAlignment="1">
      <alignment horizontal="left"/>
    </xf>
    <xf numFmtId="168" fontId="12" fillId="0" borderId="12" xfId="46" applyNumberFormat="1" applyFont="1" applyFill="1" applyBorder="1" applyAlignment="1">
      <alignment/>
    </xf>
    <xf numFmtId="168" fontId="16" fillId="0" borderId="10" xfId="46" applyNumberFormat="1" applyFont="1" applyFill="1" applyBorder="1" applyAlignment="1">
      <alignment horizontal="center"/>
    </xf>
    <xf numFmtId="168" fontId="16" fillId="0" borderId="10" xfId="46" applyNumberFormat="1" applyFont="1" applyFill="1" applyBorder="1" applyAlignment="1">
      <alignment/>
    </xf>
    <xf numFmtId="168" fontId="16" fillId="0" borderId="21" xfId="46" applyNumberFormat="1" applyFont="1" applyFill="1" applyBorder="1" applyAlignment="1">
      <alignment horizontal="center"/>
    </xf>
    <xf numFmtId="168" fontId="16" fillId="0" borderId="11" xfId="46" applyNumberFormat="1" applyFont="1" applyFill="1" applyBorder="1" applyAlignment="1">
      <alignment/>
    </xf>
    <xf numFmtId="168" fontId="16" fillId="34" borderId="0" xfId="49" applyNumberFormat="1" applyFont="1" applyFill="1" applyAlignment="1">
      <alignment horizontal="right" vertical="center" wrapText="1"/>
    </xf>
    <xf numFmtId="168" fontId="16" fillId="0" borderId="0" xfId="49" applyNumberFormat="1" applyFont="1" applyFill="1" applyAlignment="1">
      <alignment vertical="center" wrapText="1"/>
    </xf>
    <xf numFmtId="168" fontId="12" fillId="0" borderId="0" xfId="49" applyNumberFormat="1" applyFont="1" applyFill="1" applyAlignment="1">
      <alignment vertical="center" wrapText="1"/>
    </xf>
    <xf numFmtId="168" fontId="16" fillId="0" borderId="0" xfId="49" applyNumberFormat="1" applyFont="1" applyFill="1" applyAlignment="1">
      <alignment horizontal="center" vertical="center" wrapText="1"/>
    </xf>
    <xf numFmtId="168" fontId="12" fillId="0" borderId="0" xfId="49" applyNumberFormat="1" applyFont="1" applyFill="1" applyAlignment="1">
      <alignment horizontal="center" vertical="center" wrapText="1"/>
    </xf>
    <xf numFmtId="168" fontId="16" fillId="34" borderId="0" xfId="49" applyNumberFormat="1" applyFont="1" applyFill="1" applyAlignment="1">
      <alignment vertical="center" wrapText="1"/>
    </xf>
    <xf numFmtId="41" fontId="0" fillId="0" borderId="12" xfId="0" applyNumberFormat="1" applyBorder="1" applyAlignment="1">
      <alignment vertical="center" wrapText="1"/>
    </xf>
    <xf numFmtId="41" fontId="0" fillId="0" borderId="12" xfId="0" applyNumberFormat="1" applyFont="1" applyBorder="1" applyAlignment="1">
      <alignment vertical="center" wrapText="1"/>
    </xf>
    <xf numFmtId="0" fontId="0" fillId="0" borderId="12" xfId="0" applyFont="1" applyBorder="1" applyAlignment="1">
      <alignment horizontal="center"/>
    </xf>
    <xf numFmtId="0" fontId="0" fillId="34" borderId="12" xfId="0" applyFont="1" applyFill="1" applyBorder="1" applyAlignment="1">
      <alignment horizontal="center" vertical="center" wrapText="1"/>
    </xf>
    <xf numFmtId="0" fontId="10" fillId="34" borderId="12" xfId="71" applyFont="1" applyFill="1" applyBorder="1" applyAlignment="1">
      <alignment wrapText="1"/>
      <protection/>
    </xf>
    <xf numFmtId="168" fontId="12" fillId="0" borderId="12" xfId="49" applyNumberFormat="1" applyFont="1" applyFill="1" applyBorder="1" applyAlignment="1">
      <alignment horizontal="center" vertical="center" wrapText="1"/>
    </xf>
    <xf numFmtId="168" fontId="12" fillId="0" borderId="12" xfId="49" applyNumberFormat="1" applyFont="1" applyFill="1" applyBorder="1" applyAlignment="1">
      <alignment vertical="center" wrapText="1"/>
    </xf>
    <xf numFmtId="168" fontId="12" fillId="34" borderId="12" xfId="49" applyNumberFormat="1" applyFont="1" applyFill="1" applyBorder="1" applyAlignment="1">
      <alignment vertical="center" wrapText="1"/>
    </xf>
    <xf numFmtId="41" fontId="0" fillId="0" borderId="11" xfId="0" applyNumberFormat="1" applyBorder="1" applyAlignment="1">
      <alignment/>
    </xf>
    <xf numFmtId="166" fontId="0" fillId="0" borderId="11" xfId="0" applyNumberFormat="1" applyBorder="1" applyAlignment="1">
      <alignment horizontal="right"/>
    </xf>
    <xf numFmtId="0" fontId="0" fillId="0" borderId="12" xfId="0" applyFont="1" applyBorder="1" applyAlignment="1">
      <alignment/>
    </xf>
    <xf numFmtId="41" fontId="0" fillId="0" borderId="12" xfId="0" applyNumberFormat="1" applyBorder="1" applyAlignment="1">
      <alignment/>
    </xf>
    <xf numFmtId="0" fontId="0" fillId="0" borderId="12" xfId="0" applyBorder="1" applyAlignment="1" quotePrefix="1">
      <alignment horizontal="center"/>
    </xf>
    <xf numFmtId="0" fontId="0" fillId="0" borderId="12" xfId="0" applyBorder="1" applyAlignment="1">
      <alignment/>
    </xf>
    <xf numFmtId="168" fontId="16" fillId="34" borderId="12" xfId="46" applyNumberFormat="1" applyFont="1" applyFill="1" applyBorder="1" applyAlignment="1">
      <alignment vertical="center" wrapText="1"/>
    </xf>
    <xf numFmtId="41" fontId="0" fillId="0" borderId="12" xfId="0" applyNumberFormat="1" applyFont="1" applyBorder="1" applyAlignment="1">
      <alignment/>
    </xf>
    <xf numFmtId="165" fontId="0" fillId="0" borderId="12" xfId="42" applyNumberFormat="1" applyFont="1" applyBorder="1" applyAlignment="1">
      <alignment/>
    </xf>
    <xf numFmtId="3" fontId="0" fillId="0" borderId="12" xfId="0" applyNumberFormat="1" applyBorder="1" applyAlignment="1">
      <alignment/>
    </xf>
    <xf numFmtId="3" fontId="0" fillId="0" borderId="12" xfId="0" applyNumberFormat="1" applyFont="1" applyBorder="1" applyAlignment="1">
      <alignment/>
    </xf>
    <xf numFmtId="0" fontId="10" fillId="34" borderId="12" xfId="71" applyFont="1" applyFill="1" applyBorder="1" applyAlignment="1">
      <alignment vertical="center" wrapText="1"/>
      <protection/>
    </xf>
    <xf numFmtId="0" fontId="10" fillId="34" borderId="12" xfId="71" applyFont="1" applyFill="1" applyBorder="1" applyAlignment="1">
      <alignment vertical="top" wrapText="1"/>
      <protection/>
    </xf>
    <xf numFmtId="0" fontId="1" fillId="34" borderId="0" xfId="0" applyFont="1" applyFill="1" applyAlignment="1">
      <alignment vertical="center"/>
    </xf>
    <xf numFmtId="0" fontId="0" fillId="34" borderId="0" xfId="70" applyFont="1" applyFill="1" applyBorder="1" applyAlignment="1">
      <alignment wrapText="1"/>
      <protection/>
    </xf>
    <xf numFmtId="165" fontId="1" fillId="34" borderId="0" xfId="42" applyNumberFormat="1" applyFont="1" applyFill="1" applyBorder="1" applyAlignment="1">
      <alignment horizontal="right"/>
    </xf>
    <xf numFmtId="165" fontId="1" fillId="34" borderId="0" xfId="70" applyNumberFormat="1" applyFont="1" applyFill="1" applyBorder="1">
      <alignment/>
      <protection/>
    </xf>
    <xf numFmtId="165" fontId="0" fillId="34" borderId="0" xfId="70" applyNumberFormat="1" applyFont="1" applyFill="1" applyBorder="1">
      <alignment/>
      <protection/>
    </xf>
    <xf numFmtId="0" fontId="0" fillId="34" borderId="0" xfId="70" applyFont="1" applyFill="1" applyBorder="1">
      <alignment/>
      <protection/>
    </xf>
    <xf numFmtId="3" fontId="0" fillId="34" borderId="0" xfId="70" applyNumberFormat="1" applyFont="1" applyFill="1" applyBorder="1">
      <alignment/>
      <protection/>
    </xf>
    <xf numFmtId="0" fontId="0" fillId="34" borderId="0" xfId="70" applyFont="1" applyFill="1">
      <alignment/>
      <protection/>
    </xf>
    <xf numFmtId="165" fontId="0" fillId="34" borderId="0" xfId="70" applyNumberFormat="1" applyFont="1" applyFill="1">
      <alignment/>
      <protection/>
    </xf>
    <xf numFmtId="0" fontId="0" fillId="34" borderId="0" xfId="72" applyFont="1" applyFill="1" applyAlignment="1">
      <alignment/>
      <protection/>
    </xf>
    <xf numFmtId="0" fontId="1" fillId="34" borderId="0" xfId="70" applyFont="1" applyFill="1" applyAlignment="1">
      <alignment horizontal="center" wrapText="1"/>
      <protection/>
    </xf>
    <xf numFmtId="3" fontId="1" fillId="34" borderId="0" xfId="70" applyNumberFormat="1" applyFont="1" applyFill="1" applyAlignment="1">
      <alignment horizontal="center"/>
      <protection/>
    </xf>
    <xf numFmtId="0" fontId="1" fillId="34" borderId="0" xfId="70" applyFont="1" applyFill="1" applyAlignment="1">
      <alignment horizontal="center"/>
      <protection/>
    </xf>
    <xf numFmtId="166" fontId="1" fillId="34" borderId="20" xfId="70" applyNumberFormat="1" applyFont="1" applyFill="1" applyBorder="1" applyAlignment="1">
      <alignment horizontal="center" vertical="center" wrapText="1"/>
      <protection/>
    </xf>
    <xf numFmtId="0" fontId="1" fillId="34" borderId="20" xfId="70" applyFont="1" applyFill="1" applyBorder="1" applyAlignment="1">
      <alignment horizontal="center" vertical="center" wrapText="1"/>
      <protection/>
    </xf>
    <xf numFmtId="0" fontId="1" fillId="34" borderId="20" xfId="70" applyFont="1" applyFill="1" applyBorder="1" applyAlignment="1">
      <alignment horizontal="left" vertical="center" wrapText="1"/>
      <protection/>
    </xf>
    <xf numFmtId="165" fontId="1" fillId="34" borderId="20" xfId="70" applyNumberFormat="1" applyFont="1" applyFill="1" applyBorder="1" applyAlignment="1">
      <alignment horizontal="left" vertical="center" wrapText="1"/>
      <protection/>
    </xf>
    <xf numFmtId="165" fontId="1" fillId="34" borderId="22" xfId="42" applyNumberFormat="1" applyFont="1" applyFill="1" applyBorder="1" applyAlignment="1">
      <alignment horizontal="right"/>
    </xf>
    <xf numFmtId="165" fontId="1" fillId="34" borderId="15" xfId="42" applyNumberFormat="1" applyFont="1" applyFill="1" applyBorder="1" applyAlignment="1">
      <alignment horizontal="right"/>
    </xf>
    <xf numFmtId="3" fontId="1" fillId="34" borderId="12" xfId="70" applyNumberFormat="1" applyFont="1" applyFill="1" applyBorder="1" applyAlignment="1">
      <alignment horizontal="right" vertical="center" wrapText="1"/>
      <protection/>
    </xf>
    <xf numFmtId="0" fontId="1" fillId="34" borderId="20" xfId="70" applyFont="1" applyFill="1" applyBorder="1" applyAlignment="1">
      <alignment horizontal="right" vertical="center" wrapText="1"/>
      <protection/>
    </xf>
    <xf numFmtId="3" fontId="1" fillId="34" borderId="20" xfId="70" applyNumberFormat="1" applyFont="1" applyFill="1" applyBorder="1" applyAlignment="1">
      <alignment horizontal="right" vertical="center" wrapText="1"/>
      <protection/>
    </xf>
    <xf numFmtId="165" fontId="1" fillId="34" borderId="20" xfId="42" applyNumberFormat="1" applyFont="1" applyFill="1" applyBorder="1" applyAlignment="1">
      <alignment horizontal="center" vertical="center" wrapText="1"/>
    </xf>
    <xf numFmtId="0" fontId="1" fillId="34" borderId="22" xfId="70" applyFont="1" applyFill="1" applyBorder="1" applyAlignment="1">
      <alignment horizontal="center"/>
      <protection/>
    </xf>
    <xf numFmtId="0" fontId="1" fillId="34" borderId="22" xfId="70" applyFont="1" applyFill="1" applyBorder="1" applyAlignment="1">
      <alignment horizontal="left" wrapText="1"/>
      <protection/>
    </xf>
    <xf numFmtId="165" fontId="1" fillId="34" borderId="22" xfId="70" applyNumberFormat="1" applyFont="1" applyFill="1" applyBorder="1" applyAlignment="1">
      <alignment horizontal="left" wrapText="1"/>
      <protection/>
    </xf>
    <xf numFmtId="0" fontId="1" fillId="34" borderId="0" xfId="70" applyFont="1" applyFill="1" applyAlignment="1">
      <alignment horizontal="right"/>
      <protection/>
    </xf>
    <xf numFmtId="165" fontId="9" fillId="34" borderId="12" xfId="71" applyNumberFormat="1" applyFont="1" applyFill="1" applyBorder="1" applyAlignment="1">
      <alignment wrapText="1"/>
      <protection/>
    </xf>
    <xf numFmtId="165" fontId="1" fillId="34" borderId="12" xfId="42" applyNumberFormat="1" applyFont="1" applyFill="1" applyBorder="1" applyAlignment="1">
      <alignment horizontal="right"/>
    </xf>
    <xf numFmtId="0" fontId="1" fillId="34" borderId="0" xfId="70" applyFont="1" applyFill="1">
      <alignment/>
      <protection/>
    </xf>
    <xf numFmtId="165" fontId="0" fillId="34" borderId="12" xfId="42" applyNumberFormat="1" applyFont="1" applyFill="1" applyBorder="1" applyAlignment="1">
      <alignment horizontal="right"/>
    </xf>
    <xf numFmtId="165" fontId="0" fillId="34" borderId="12" xfId="42" applyNumberFormat="1" applyFont="1" applyFill="1" applyBorder="1" applyAlignment="1">
      <alignment/>
    </xf>
    <xf numFmtId="3" fontId="0" fillId="34" borderId="12" xfId="42" applyNumberFormat="1" applyFont="1" applyFill="1" applyBorder="1" applyAlignment="1">
      <alignment/>
    </xf>
    <xf numFmtId="164" fontId="0" fillId="34" borderId="12" xfId="42" applyNumberFormat="1" applyFont="1" applyFill="1" applyBorder="1" applyAlignment="1">
      <alignment/>
    </xf>
    <xf numFmtId="0" fontId="0" fillId="34" borderId="12" xfId="70" applyFont="1" applyFill="1" applyBorder="1">
      <alignment/>
      <protection/>
    </xf>
    <xf numFmtId="0" fontId="1" fillId="34" borderId="12" xfId="70" applyFont="1" applyFill="1" applyBorder="1" applyAlignment="1">
      <alignment horizontal="center"/>
      <protection/>
    </xf>
    <xf numFmtId="3" fontId="1" fillId="34" borderId="12" xfId="70" applyNumberFormat="1" applyFont="1" applyFill="1" applyBorder="1" applyAlignment="1">
      <alignment wrapText="1"/>
      <protection/>
    </xf>
    <xf numFmtId="0" fontId="0" fillId="34" borderId="12" xfId="70" applyFont="1" applyFill="1" applyBorder="1" applyAlignment="1">
      <alignment horizontal="center"/>
      <protection/>
    </xf>
    <xf numFmtId="3" fontId="0" fillId="34" borderId="12" xfId="60" applyNumberFormat="1" applyFont="1" applyFill="1" applyBorder="1" applyAlignment="1">
      <alignment wrapText="1"/>
      <protection/>
    </xf>
    <xf numFmtId="165" fontId="0" fillId="34" borderId="12" xfId="42" applyNumberFormat="1" applyFont="1" applyFill="1" applyBorder="1" applyAlignment="1">
      <alignment/>
    </xf>
    <xf numFmtId="3" fontId="0" fillId="34" borderId="12" xfId="42" applyNumberFormat="1" applyFont="1" applyFill="1" applyBorder="1" applyAlignment="1">
      <alignment/>
    </xf>
    <xf numFmtId="0" fontId="0" fillId="34" borderId="0" xfId="70" applyFont="1" applyFill="1" applyAlignment="1">
      <alignment wrapText="1"/>
      <protection/>
    </xf>
    <xf numFmtId="165" fontId="1" fillId="34" borderId="0" xfId="70" applyNumberFormat="1" applyFont="1" applyFill="1">
      <alignment/>
      <protection/>
    </xf>
    <xf numFmtId="3" fontId="0" fillId="34" borderId="0" xfId="70" applyNumberFormat="1" applyFont="1" applyFill="1">
      <alignment/>
      <protection/>
    </xf>
    <xf numFmtId="0" fontId="1" fillId="34" borderId="0" xfId="70" applyFont="1" applyFill="1" applyBorder="1" applyAlignment="1">
      <alignment horizontal="center"/>
      <protection/>
    </xf>
    <xf numFmtId="3" fontId="1" fillId="34" borderId="0" xfId="0" applyNumberFormat="1" applyFont="1" applyFill="1" applyBorder="1" applyAlignment="1">
      <alignment wrapText="1"/>
    </xf>
    <xf numFmtId="3" fontId="1" fillId="34" borderId="0" xfId="49" applyNumberFormat="1" applyFont="1" applyFill="1" applyBorder="1" applyAlignment="1">
      <alignment horizontal="right"/>
    </xf>
    <xf numFmtId="3" fontId="1" fillId="34" borderId="0" xfId="70" applyNumberFormat="1" applyFont="1" applyFill="1">
      <alignment/>
      <protection/>
    </xf>
    <xf numFmtId="165" fontId="0" fillId="34" borderId="12" xfId="42" applyNumberFormat="1" applyFont="1" applyFill="1" applyBorder="1" applyAlignment="1">
      <alignment horizontal="center" vertical="center" wrapText="1"/>
    </xf>
    <xf numFmtId="168" fontId="16" fillId="0" borderId="20" xfId="46" applyNumberFormat="1" applyFont="1" applyFill="1" applyBorder="1" applyAlignment="1">
      <alignment horizontal="center"/>
    </xf>
    <xf numFmtId="168" fontId="16" fillId="34" borderId="20" xfId="46" applyNumberFormat="1" applyFont="1" applyFill="1" applyBorder="1" applyAlignment="1">
      <alignment vertical="center" wrapText="1"/>
    </xf>
    <xf numFmtId="168" fontId="16" fillId="0" borderId="20" xfId="46" applyNumberFormat="1" applyFont="1" applyFill="1" applyBorder="1" applyAlignment="1">
      <alignment/>
    </xf>
    <xf numFmtId="168" fontId="12" fillId="34" borderId="0" xfId="49" applyNumberFormat="1" applyFont="1" applyFill="1" applyAlignment="1">
      <alignment horizontal="right" vertical="center" wrapText="1"/>
    </xf>
    <xf numFmtId="168" fontId="12" fillId="0" borderId="22" xfId="49" applyNumberFormat="1" applyFont="1" applyFill="1" applyBorder="1" applyAlignment="1">
      <alignment horizontal="center" vertical="center" wrapText="1"/>
    </xf>
    <xf numFmtId="168" fontId="12" fillId="34" borderId="22" xfId="49" applyNumberFormat="1" applyFont="1" applyFill="1" applyBorder="1" applyAlignment="1">
      <alignment horizontal="center" vertical="center" wrapText="1"/>
    </xf>
    <xf numFmtId="168" fontId="16" fillId="0" borderId="12" xfId="49" applyNumberFormat="1" applyFont="1" applyFill="1" applyBorder="1" applyAlignment="1">
      <alignment horizontal="center" vertical="center" wrapText="1"/>
    </xf>
    <xf numFmtId="168" fontId="16" fillId="0" borderId="12" xfId="49" applyNumberFormat="1" applyFont="1" applyFill="1" applyBorder="1" applyAlignment="1">
      <alignment vertical="center" wrapText="1"/>
    </xf>
    <xf numFmtId="3" fontId="16" fillId="34" borderId="12" xfId="49" applyNumberFormat="1" applyFont="1" applyFill="1" applyBorder="1" applyAlignment="1">
      <alignment vertical="center" wrapText="1"/>
    </xf>
    <xf numFmtId="3" fontId="12" fillId="34" borderId="12" xfId="49" applyNumberFormat="1" applyFont="1" applyFill="1" applyBorder="1" applyAlignment="1">
      <alignment vertical="center" wrapText="1"/>
    </xf>
    <xf numFmtId="168" fontId="16" fillId="34" borderId="12" xfId="49" applyNumberFormat="1" applyFont="1" applyFill="1" applyBorder="1" applyAlignment="1">
      <alignment vertical="center" wrapText="1"/>
    </xf>
    <xf numFmtId="0" fontId="1" fillId="34" borderId="22" xfId="70" applyFont="1" applyFill="1" applyBorder="1" applyAlignment="1">
      <alignment horizontal="center" vertical="center" wrapText="1"/>
      <protection/>
    </xf>
    <xf numFmtId="0" fontId="1" fillId="34" borderId="14" xfId="70" applyFont="1" applyFill="1" applyBorder="1" applyAlignment="1">
      <alignment horizontal="center" vertical="center" wrapText="1"/>
      <protection/>
    </xf>
    <xf numFmtId="166" fontId="1" fillId="34" borderId="14" xfId="70" applyNumberFormat="1" applyFont="1" applyFill="1" applyBorder="1" applyAlignment="1">
      <alignment horizontal="center" vertical="center" wrapText="1"/>
      <protection/>
    </xf>
    <xf numFmtId="0" fontId="24" fillId="0" borderId="0" xfId="0" applyFont="1" applyAlignment="1">
      <alignment vertical="top" wrapText="1"/>
    </xf>
    <xf numFmtId="0" fontId="17" fillId="0" borderId="0" xfId="0" applyFont="1" applyAlignment="1">
      <alignment/>
    </xf>
    <xf numFmtId="0" fontId="25" fillId="0" borderId="0" xfId="0" applyFont="1" applyAlignment="1">
      <alignment horizontal="right"/>
    </xf>
    <xf numFmtId="3" fontId="1" fillId="0" borderId="12" xfId="0" applyNumberFormat="1" applyFont="1" applyBorder="1" applyAlignment="1">
      <alignment horizontal="right" vertical="center" wrapText="1"/>
    </xf>
    <xf numFmtId="0" fontId="1" fillId="0" borderId="12" xfId="0" applyFont="1" applyBorder="1" applyAlignment="1">
      <alignment vertical="center" wrapText="1"/>
    </xf>
    <xf numFmtId="41" fontId="1" fillId="0" borderId="12" xfId="0" applyNumberFormat="1" applyFont="1" applyBorder="1" applyAlignment="1">
      <alignment horizontal="right" vertical="center" wrapText="1"/>
    </xf>
    <xf numFmtId="41" fontId="26" fillId="0" borderId="0" xfId="0" applyNumberFormat="1" applyFont="1" applyAlignment="1">
      <alignment/>
    </xf>
    <xf numFmtId="0" fontId="26" fillId="0" borderId="0" xfId="0" applyFont="1" applyAlignment="1">
      <alignment/>
    </xf>
    <xf numFmtId="41" fontId="0" fillId="0" borderId="12" xfId="0" applyNumberFormat="1" applyFont="1" applyBorder="1" applyAlignment="1">
      <alignment horizontal="right" vertical="center" wrapText="1"/>
    </xf>
    <xf numFmtId="41" fontId="1" fillId="0" borderId="12" xfId="0" applyNumberFormat="1" applyFont="1" applyBorder="1" applyAlignment="1">
      <alignment horizontal="center" vertical="center" wrapText="1"/>
    </xf>
    <xf numFmtId="41" fontId="0" fillId="0" borderId="12" xfId="0" applyNumberFormat="1" applyFont="1" applyBorder="1" applyAlignment="1">
      <alignment horizontal="center" vertical="center" wrapText="1"/>
    </xf>
    <xf numFmtId="3" fontId="0" fillId="0" borderId="0" xfId="0" applyNumberFormat="1" applyFont="1" applyAlignment="1">
      <alignment horizontal="right"/>
    </xf>
    <xf numFmtId="0" fontId="1" fillId="34" borderId="0" xfId="0" applyFont="1" applyFill="1" applyAlignment="1">
      <alignment vertical="top" wrapText="1"/>
    </xf>
    <xf numFmtId="0" fontId="8" fillId="0" borderId="0" xfId="0" applyFont="1" applyAlignment="1">
      <alignment vertical="top" wrapText="1"/>
    </xf>
    <xf numFmtId="0" fontId="0" fillId="34" borderId="0" xfId="0" applyFont="1" applyFill="1" applyAlignment="1">
      <alignment/>
    </xf>
    <xf numFmtId="165" fontId="27" fillId="34" borderId="0" xfId="42" applyNumberFormat="1" applyFont="1" applyFill="1" applyAlignment="1">
      <alignment/>
    </xf>
    <xf numFmtId="0" fontId="27" fillId="34" borderId="0" xfId="69" applyFont="1" applyFill="1">
      <alignment/>
      <protection/>
    </xf>
    <xf numFmtId="0" fontId="1" fillId="34" borderId="12" xfId="69" applyFont="1" applyFill="1" applyBorder="1" applyAlignment="1">
      <alignment horizontal="center" vertical="center" wrapText="1"/>
      <protection/>
    </xf>
    <xf numFmtId="165" fontId="1" fillId="34" borderId="12" xfId="42" applyNumberFormat="1" applyFont="1" applyFill="1" applyBorder="1" applyAlignment="1">
      <alignment horizontal="center" vertical="center" wrapText="1"/>
    </xf>
    <xf numFmtId="0" fontId="1" fillId="34" borderId="12" xfId="69" applyFont="1" applyFill="1" applyBorder="1" applyAlignment="1">
      <alignment vertical="center" wrapText="1"/>
      <protection/>
    </xf>
    <xf numFmtId="41" fontId="1" fillId="34" borderId="12" xfId="69" applyNumberFormat="1" applyFont="1" applyFill="1" applyBorder="1" applyAlignment="1">
      <alignment horizontal="center" vertical="center" wrapText="1"/>
      <protection/>
    </xf>
    <xf numFmtId="0" fontId="26" fillId="34" borderId="0" xfId="69" applyFont="1" applyFill="1">
      <alignment/>
      <protection/>
    </xf>
    <xf numFmtId="0" fontId="0" fillId="34" borderId="12" xfId="0" applyFont="1" applyFill="1" applyBorder="1" applyAlignment="1">
      <alignment vertical="center" wrapText="1"/>
    </xf>
    <xf numFmtId="41" fontId="0" fillId="34" borderId="12" xfId="69" applyNumberFormat="1" applyFont="1" applyFill="1" applyBorder="1" applyAlignment="1">
      <alignment horizontal="center" vertical="center" wrapText="1"/>
      <protection/>
    </xf>
    <xf numFmtId="41" fontId="0" fillId="34" borderId="12" xfId="0" applyNumberFormat="1" applyFont="1" applyFill="1" applyBorder="1" applyAlignment="1">
      <alignment vertical="center" wrapText="1"/>
    </xf>
    <xf numFmtId="0" fontId="0" fillId="34" borderId="14" xfId="69" applyFont="1" applyFill="1" applyBorder="1" applyAlignment="1">
      <alignment horizontal="center" vertical="center" wrapText="1"/>
      <protection/>
    </xf>
    <xf numFmtId="0" fontId="0" fillId="34" borderId="14" xfId="69" applyFont="1" applyFill="1" applyBorder="1" applyAlignment="1">
      <alignment vertical="center" wrapText="1"/>
      <protection/>
    </xf>
    <xf numFmtId="0" fontId="0" fillId="34" borderId="12" xfId="69" applyFont="1" applyFill="1" applyBorder="1" applyAlignment="1">
      <alignment horizontal="center" vertical="center" wrapText="1"/>
      <protection/>
    </xf>
    <xf numFmtId="165" fontId="0" fillId="34" borderId="0" xfId="42" applyNumberFormat="1" applyFont="1" applyFill="1" applyAlignment="1">
      <alignment/>
    </xf>
    <xf numFmtId="0" fontId="1" fillId="0" borderId="0" xfId="0" applyFont="1" applyAlignment="1">
      <alignment horizontal="center"/>
    </xf>
    <xf numFmtId="0" fontId="0" fillId="0" borderId="0" xfId="0" applyFont="1" applyAlignment="1">
      <alignment horizontal="right"/>
    </xf>
    <xf numFmtId="0" fontId="2"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xf>
    <xf numFmtId="0" fontId="6" fillId="0" borderId="23" xfId="0" applyFont="1" applyBorder="1" applyAlignment="1">
      <alignment horizontal="center"/>
    </xf>
    <xf numFmtId="0" fontId="1" fillId="0" borderId="12" xfId="0" applyFont="1" applyBorder="1" applyAlignment="1">
      <alignment horizontal="center" vertical="center" wrapText="1"/>
    </xf>
    <xf numFmtId="0" fontId="7" fillId="0" borderId="0" xfId="0" applyFont="1" applyAlignment="1">
      <alignment horizontal="center"/>
    </xf>
    <xf numFmtId="0" fontId="8" fillId="0" borderId="0" xfId="0" applyFont="1" applyAlignment="1">
      <alignment horizontal="left" vertical="top" wrapText="1"/>
    </xf>
    <xf numFmtId="0" fontId="8" fillId="0" borderId="0" xfId="0" applyFont="1" applyAlignment="1">
      <alignment horizontal="center" vertical="top" wrapText="1"/>
    </xf>
    <xf numFmtId="0" fontId="9" fillId="0" borderId="0" xfId="0" applyFont="1" applyAlignment="1">
      <alignment horizontal="center"/>
    </xf>
    <xf numFmtId="0" fontId="1" fillId="0" borderId="0" xfId="0" applyFont="1" applyAlignment="1">
      <alignment horizontal="center" vertical="center" wrapText="1"/>
    </xf>
    <xf numFmtId="3" fontId="1" fillId="0" borderId="12" xfId="0" applyNumberFormat="1" applyFont="1" applyBorder="1" applyAlignment="1">
      <alignment horizontal="center" vertical="center" wrapText="1"/>
    </xf>
    <xf numFmtId="3" fontId="1" fillId="0" borderId="22" xfId="0" applyNumberFormat="1" applyFont="1" applyBorder="1" applyAlignment="1">
      <alignment horizontal="center" vertical="center" wrapText="1"/>
    </xf>
    <xf numFmtId="3" fontId="1" fillId="0" borderId="14"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4" xfId="0" applyFont="1" applyBorder="1" applyAlignment="1">
      <alignment horizontal="center" vertical="center" wrapText="1"/>
    </xf>
    <xf numFmtId="0" fontId="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2" fillId="34" borderId="0" xfId="70" applyFont="1" applyFill="1" applyAlignment="1">
      <alignment horizontal="center"/>
      <protection/>
    </xf>
    <xf numFmtId="165" fontId="0" fillId="34" borderId="0" xfId="70" applyNumberFormat="1" applyFont="1" applyFill="1" applyAlignment="1">
      <alignment horizontal="right"/>
      <protection/>
    </xf>
    <xf numFmtId="0" fontId="1" fillId="34" borderId="22" xfId="70" applyFont="1" applyFill="1" applyBorder="1" applyAlignment="1">
      <alignment horizontal="center" vertical="center" wrapText="1"/>
      <protection/>
    </xf>
    <xf numFmtId="0" fontId="1" fillId="34" borderId="14" xfId="70" applyFont="1" applyFill="1" applyBorder="1" applyAlignment="1">
      <alignment horizontal="center" vertical="center" wrapText="1"/>
      <protection/>
    </xf>
    <xf numFmtId="166" fontId="1" fillId="34" borderId="22" xfId="70" applyNumberFormat="1" applyFont="1" applyFill="1" applyBorder="1" applyAlignment="1">
      <alignment horizontal="center" vertical="center" wrapText="1"/>
      <protection/>
    </xf>
    <xf numFmtId="166" fontId="1" fillId="34" borderId="14" xfId="70" applyNumberFormat="1" applyFont="1" applyFill="1" applyBorder="1" applyAlignment="1">
      <alignment horizontal="center" vertical="center" wrapText="1"/>
      <protection/>
    </xf>
    <xf numFmtId="3" fontId="1" fillId="34" borderId="22" xfId="70" applyNumberFormat="1" applyFont="1" applyFill="1" applyBorder="1" applyAlignment="1">
      <alignment horizontal="center" vertical="center" wrapText="1"/>
      <protection/>
    </xf>
    <xf numFmtId="3" fontId="1" fillId="34" borderId="14" xfId="70" applyNumberFormat="1" applyFont="1" applyFill="1" applyBorder="1" applyAlignment="1">
      <alignment horizontal="center" vertical="center" wrapText="1"/>
      <protection/>
    </xf>
    <xf numFmtId="166" fontId="1" fillId="34" borderId="24" xfId="70" applyNumberFormat="1" applyFont="1" applyFill="1" applyBorder="1" applyAlignment="1">
      <alignment horizontal="center" vertical="center" wrapText="1"/>
      <protection/>
    </xf>
    <xf numFmtId="166" fontId="1" fillId="34" borderId="25" xfId="70" applyNumberFormat="1" applyFont="1" applyFill="1" applyBorder="1" applyAlignment="1">
      <alignment horizontal="center" vertical="center" wrapText="1"/>
      <protection/>
    </xf>
    <xf numFmtId="166" fontId="1" fillId="34" borderId="26" xfId="70" applyNumberFormat="1" applyFont="1" applyFill="1" applyBorder="1" applyAlignment="1">
      <alignment horizontal="center" vertical="center" wrapText="1"/>
      <protection/>
    </xf>
    <xf numFmtId="0" fontId="2" fillId="34" borderId="0" xfId="0" applyFont="1" applyFill="1" applyAlignment="1">
      <alignment horizontal="center" vertical="center" wrapText="1"/>
    </xf>
    <xf numFmtId="0" fontId="1" fillId="34" borderId="12" xfId="69" applyFont="1" applyFill="1" applyBorder="1" applyAlignment="1">
      <alignment horizontal="center" vertical="center" wrapText="1"/>
      <protection/>
    </xf>
    <xf numFmtId="0" fontId="1" fillId="34" borderId="0" xfId="0" applyFont="1" applyFill="1" applyAlignment="1">
      <alignment horizontal="center" vertical="top" wrapText="1"/>
    </xf>
    <xf numFmtId="0" fontId="7" fillId="34" borderId="23" xfId="0" applyFont="1" applyFill="1" applyBorder="1" applyAlignment="1">
      <alignment horizontal="right"/>
    </xf>
    <xf numFmtId="168" fontId="12" fillId="0" borderId="0" xfId="46" applyNumberFormat="1" applyFont="1" applyFill="1" applyAlignment="1">
      <alignment horizontal="left"/>
    </xf>
    <xf numFmtId="168" fontId="2" fillId="0" borderId="0" xfId="46" applyNumberFormat="1" applyFont="1" applyFill="1" applyAlignment="1">
      <alignment horizontal="center" vertical="center" wrapText="1"/>
    </xf>
    <xf numFmtId="168" fontId="11" fillId="0" borderId="0" xfId="46" applyNumberFormat="1" applyFont="1" applyFill="1" applyAlignment="1">
      <alignment horizontal="center"/>
    </xf>
    <xf numFmtId="0" fontId="3" fillId="0" borderId="0" xfId="0" applyFont="1" applyAlignment="1" quotePrefix="1">
      <alignment vertical="center" wrapText="1"/>
    </xf>
    <xf numFmtId="168" fontId="12" fillId="0" borderId="0" xfId="49" applyNumberFormat="1" applyFont="1" applyFill="1" applyAlignment="1">
      <alignment horizontal="left" vertical="center" wrapText="1"/>
    </xf>
    <xf numFmtId="168" fontId="2" fillId="0" borderId="0" xfId="49" applyNumberFormat="1" applyFont="1" applyFill="1" applyAlignment="1">
      <alignment horizontal="center" vertical="center" wrapText="1"/>
    </xf>
    <xf numFmtId="168" fontId="11" fillId="0" borderId="0" xfId="49" applyNumberFormat="1" applyFont="1" applyFill="1" applyAlignment="1">
      <alignment horizontal="center" vertical="center"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2" xfId="44"/>
    <cellStyle name="Comma 129 4" xfId="45"/>
    <cellStyle name="Comma 2 2" xfId="46"/>
    <cellStyle name="Comma 2_Phu luc" xfId="47"/>
    <cellStyle name="Comma 3 13 3" xfId="48"/>
    <cellStyle name="Comma 7" xfId="49"/>
    <cellStyle name="Comma 8" xfId="50"/>
    <cellStyle name="Currency" xfId="51"/>
    <cellStyle name="Currency [0]" xfId="52"/>
    <cellStyle name="Explanatory Text" xfId="53"/>
    <cellStyle name="Good" xfId="54"/>
    <cellStyle name="Heading 1" xfId="55"/>
    <cellStyle name="Heading 2" xfId="56"/>
    <cellStyle name="Heading 3" xfId="57"/>
    <cellStyle name="Heading 4" xfId="58"/>
    <cellStyle name="Input" xfId="59"/>
    <cellStyle name="Ledger 17 x 11 in 4" xfId="60"/>
    <cellStyle name="Linked Cell" xfId="61"/>
    <cellStyle name="Neutral" xfId="62"/>
    <cellStyle name="Normal 13" xfId="63"/>
    <cellStyle name="Normal 139" xfId="64"/>
    <cellStyle name="Normal 3 11" xfId="65"/>
    <cellStyle name="Normal 3 2" xfId="66"/>
    <cellStyle name="Normal 5" xfId="67"/>
    <cellStyle name="Normal 5 6" xfId="68"/>
    <cellStyle name="Normal 8" xfId="69"/>
    <cellStyle name="Normal_DT khoi tinh (20-11-2013)" xfId="70"/>
    <cellStyle name="Normal_Du toan ngan sach 2012.(giao cac don vi )" xfId="71"/>
    <cellStyle name="Normal_Hanh DT 2007" xfId="72"/>
    <cellStyle name="Note" xfId="73"/>
    <cellStyle name="Output" xfId="74"/>
    <cellStyle name="Percent" xfId="75"/>
    <cellStyle name="Percent 58 3" xfId="76"/>
    <cellStyle name="Title" xfId="77"/>
    <cellStyle name="Total" xfId="78"/>
    <cellStyle name="Warning Text"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7921;%20to&#225;n%20huy&#7879;n%20n&#259;m%202023\D&#7921;%20to&#225;n%202023%20tr&#236;nh%20H&#272;ND%20huy&#7879;n\B&#225;o%20c&#225;o%20tr&#236;nh%20k&#7923;%20h&#7885;p%20H&#272;ND%2023%20%20huy&#7879;n%20(%20Chu&#7849;n)\Ph&#7909;%20l&#7909;c%20PA%20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i cân đối "/>
      <sheetName val="Chi cấp huyện"/>
      <sheetName val="Chi GD "/>
      <sheetName val="Tiết kiệm"/>
      <sheetName val="TX CQ 05"/>
      <sheetName val="CHi TX theo LV 06"/>
      <sheetName val="BSMT tỉnh "/>
      <sheetName val="BSMT huyện"/>
    </sheetNames>
    <sheetDataSet>
      <sheetData sheetId="4">
        <row r="7">
          <cell r="V7">
            <v>9458.300000000001</v>
          </cell>
        </row>
        <row r="9">
          <cell r="F9">
            <v>4975.8</v>
          </cell>
        </row>
        <row r="10">
          <cell r="F10">
            <v>1884.6</v>
          </cell>
        </row>
        <row r="11">
          <cell r="F11">
            <v>11121.6</v>
          </cell>
        </row>
        <row r="12">
          <cell r="F12">
            <v>1043.1</v>
          </cell>
        </row>
        <row r="13">
          <cell r="F13">
            <v>1398.6</v>
          </cell>
        </row>
        <row r="14">
          <cell r="F14">
            <v>2201.9</v>
          </cell>
        </row>
        <row r="15">
          <cell r="E15">
            <v>2511</v>
          </cell>
          <cell r="F15">
            <v>94982</v>
          </cell>
        </row>
        <row r="16">
          <cell r="F16">
            <v>1191.1</v>
          </cell>
        </row>
        <row r="17">
          <cell r="F17">
            <v>722.7</v>
          </cell>
        </row>
        <row r="18">
          <cell r="E18">
            <v>340</v>
          </cell>
          <cell r="F18">
            <v>5219.8</v>
          </cell>
        </row>
        <row r="19">
          <cell r="F19">
            <v>546.7</v>
          </cell>
        </row>
        <row r="20">
          <cell r="F20">
            <v>41414.9</v>
          </cell>
        </row>
        <row r="21">
          <cell r="F21">
            <v>2340</v>
          </cell>
        </row>
        <row r="22">
          <cell r="F22">
            <v>6750.4</v>
          </cell>
        </row>
        <row r="23">
          <cell r="F23">
            <v>1808.6</v>
          </cell>
        </row>
        <row r="24">
          <cell r="F24">
            <v>670.7</v>
          </cell>
        </row>
        <row r="25">
          <cell r="F25">
            <v>710.6</v>
          </cell>
        </row>
        <row r="26">
          <cell r="F26">
            <v>612.7</v>
          </cell>
        </row>
        <row r="27">
          <cell r="F27">
            <v>1046.7</v>
          </cell>
        </row>
        <row r="28">
          <cell r="F28">
            <v>428.2</v>
          </cell>
        </row>
        <row r="29">
          <cell r="F29">
            <v>4481.4</v>
          </cell>
        </row>
        <row r="30">
          <cell r="F30">
            <v>4022</v>
          </cell>
        </row>
        <row r="31">
          <cell r="F31">
            <v>3308</v>
          </cell>
        </row>
        <row r="32">
          <cell r="D32">
            <v>325.1</v>
          </cell>
        </row>
        <row r="33">
          <cell r="D33">
            <v>179.4</v>
          </cell>
        </row>
        <row r="34">
          <cell r="D34">
            <v>225.3</v>
          </cell>
        </row>
        <row r="35">
          <cell r="D35">
            <v>48</v>
          </cell>
        </row>
        <row r="36">
          <cell r="D36">
            <v>78</v>
          </cell>
        </row>
        <row r="37">
          <cell r="D37">
            <v>10</v>
          </cell>
        </row>
        <row r="38">
          <cell r="D38">
            <v>10</v>
          </cell>
        </row>
        <row r="39">
          <cell r="D39">
            <v>10</v>
          </cell>
        </row>
        <row r="40">
          <cell r="D40">
            <v>10</v>
          </cell>
        </row>
        <row r="41">
          <cell r="D41">
            <v>10</v>
          </cell>
        </row>
        <row r="42">
          <cell r="D42">
            <v>6</v>
          </cell>
        </row>
        <row r="43">
          <cell r="D43">
            <v>3817</v>
          </cell>
        </row>
        <row r="44">
          <cell r="D44">
            <v>706.8</v>
          </cell>
        </row>
        <row r="45">
          <cell r="E45">
            <v>7840</v>
          </cell>
          <cell r="F45">
            <v>300227</v>
          </cell>
        </row>
        <row r="49">
          <cell r="D49">
            <v>150</v>
          </cell>
        </row>
        <row r="50">
          <cell r="D50">
            <v>120</v>
          </cell>
        </row>
        <row r="51">
          <cell r="D51">
            <v>90</v>
          </cell>
        </row>
        <row r="52">
          <cell r="D52">
            <v>21.092</v>
          </cell>
        </row>
        <row r="53">
          <cell r="E53">
            <v>500</v>
          </cell>
          <cell r="F53">
            <v>1500</v>
          </cell>
        </row>
        <row r="54">
          <cell r="D54">
            <v>500</v>
          </cell>
        </row>
        <row r="56">
          <cell r="E56">
            <v>766</v>
          </cell>
          <cell r="F56">
            <v>15406</v>
          </cell>
        </row>
        <row r="57">
          <cell r="E57">
            <v>21560</v>
          </cell>
        </row>
        <row r="58">
          <cell r="D58">
            <v>4260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L33"/>
  <sheetViews>
    <sheetView zoomScalePageLayoutView="0" workbookViewId="0" topLeftCell="A4">
      <pane xSplit="2" ySplit="3" topLeftCell="C7" activePane="bottomRight" state="frozen"/>
      <selection pane="topLeft" activeCell="A4" sqref="A4"/>
      <selection pane="topRight" activeCell="C4" sqref="C4"/>
      <selection pane="bottomLeft" activeCell="A7" sqref="A7"/>
      <selection pane="bottomRight" activeCell="D28" sqref="D28"/>
    </sheetView>
  </sheetViews>
  <sheetFormatPr defaultColWidth="9.00390625" defaultRowHeight="15.75"/>
  <cols>
    <col min="1" max="1" width="5.375" style="0" customWidth="1"/>
    <col min="2" max="2" width="46.00390625" style="0" customWidth="1"/>
    <col min="3" max="3" width="11.00390625" style="0" customWidth="1"/>
    <col min="4" max="4" width="10.125" style="0" bestFit="1" customWidth="1"/>
    <col min="5" max="5" width="10.25390625" style="0" customWidth="1"/>
    <col min="6" max="7" width="10.25390625" style="0" hidden="1" customWidth="1"/>
    <col min="8" max="8" width="9.75390625" style="0" customWidth="1"/>
    <col min="12" max="12" width="15.75390625" style="0" bestFit="1" customWidth="1"/>
  </cols>
  <sheetData>
    <row r="1" spans="1:8" ht="22.5" customHeight="1">
      <c r="A1" s="1" t="s">
        <v>118</v>
      </c>
      <c r="D1" s="224" t="s">
        <v>31</v>
      </c>
      <c r="E1" s="224"/>
      <c r="F1" s="224"/>
      <c r="G1" s="224"/>
      <c r="H1" s="224"/>
    </row>
    <row r="2" spans="1:8" s="9" customFormat="1" ht="21" customHeight="1">
      <c r="A2" s="226" t="s">
        <v>233</v>
      </c>
      <c r="B2" s="226"/>
      <c r="C2" s="226"/>
      <c r="D2" s="226"/>
      <c r="E2" s="226"/>
      <c r="F2" s="226"/>
      <c r="G2" s="226"/>
      <c r="H2" s="226"/>
    </row>
    <row r="3" spans="1:8" s="9" customFormat="1" ht="19.5">
      <c r="A3" s="227" t="s">
        <v>0</v>
      </c>
      <c r="B3" s="227"/>
      <c r="C3" s="227"/>
      <c r="D3" s="227"/>
      <c r="E3" s="227"/>
      <c r="F3" s="227"/>
      <c r="G3" s="227"/>
      <c r="H3" s="227"/>
    </row>
    <row r="4" spans="5:8" ht="21" customHeight="1">
      <c r="E4" s="225" t="s">
        <v>4</v>
      </c>
      <c r="F4" s="225"/>
      <c r="G4" s="225"/>
      <c r="H4" s="225"/>
    </row>
    <row r="5" spans="5:8" ht="10.5" customHeight="1" hidden="1">
      <c r="E5" s="3"/>
      <c r="F5" s="3"/>
      <c r="G5" s="3"/>
      <c r="H5" s="3"/>
    </row>
    <row r="6" spans="1:8" s="1" customFormat="1" ht="45" customHeight="1">
      <c r="A6" s="8" t="s">
        <v>1</v>
      </c>
      <c r="B6" s="8" t="s">
        <v>2</v>
      </c>
      <c r="C6" s="8" t="s">
        <v>175</v>
      </c>
      <c r="D6" s="8" t="s">
        <v>234</v>
      </c>
      <c r="E6" s="8" t="s">
        <v>235</v>
      </c>
      <c r="F6" s="8" t="s">
        <v>119</v>
      </c>
      <c r="G6" s="8" t="s">
        <v>120</v>
      </c>
      <c r="H6" s="8" t="s">
        <v>3</v>
      </c>
    </row>
    <row r="7" spans="1:8" s="1" customFormat="1" ht="26.25" customHeight="1">
      <c r="A7" s="8" t="s">
        <v>5</v>
      </c>
      <c r="B7" s="8" t="s">
        <v>21</v>
      </c>
      <c r="C7" s="8">
        <v>1</v>
      </c>
      <c r="D7" s="8">
        <v>2</v>
      </c>
      <c r="E7" s="8">
        <v>3</v>
      </c>
      <c r="F7" s="8">
        <v>4</v>
      </c>
      <c r="G7" s="8">
        <v>5</v>
      </c>
      <c r="H7" s="8" t="s">
        <v>123</v>
      </c>
    </row>
    <row r="8" spans="1:8" s="1" customFormat="1" ht="27.75" customHeight="1">
      <c r="A8" s="14" t="s">
        <v>5</v>
      </c>
      <c r="B8" s="33" t="s">
        <v>6</v>
      </c>
      <c r="C8" s="34">
        <f>C9+C12+C15+C16</f>
        <v>1566658</v>
      </c>
      <c r="D8" s="34">
        <f>D9+D12+D15+D16</f>
        <v>1575106</v>
      </c>
      <c r="E8" s="34">
        <f>E9+E12+E15+E16</f>
        <v>1463886</v>
      </c>
      <c r="F8" s="34">
        <f>F9+F12+F15+F16</f>
        <v>1372120</v>
      </c>
      <c r="G8" s="34">
        <f>G9+G12+G15+G16</f>
        <v>91766</v>
      </c>
      <c r="H8" s="35">
        <f>E8/D8*100</f>
        <v>92.93888792246364</v>
      </c>
    </row>
    <row r="9" spans="1:8" s="1" customFormat="1" ht="21.75" customHeight="1">
      <c r="A9" s="14" t="s">
        <v>12</v>
      </c>
      <c r="B9" s="33" t="s">
        <v>7</v>
      </c>
      <c r="C9" s="34">
        <f>C10+C11</f>
        <v>1079630</v>
      </c>
      <c r="D9" s="34">
        <f>D10+D11</f>
        <v>392788</v>
      </c>
      <c r="E9" s="34">
        <f>E10+E11</f>
        <v>933152</v>
      </c>
      <c r="F9" s="34">
        <f>F10+F11</f>
        <v>841386</v>
      </c>
      <c r="G9" s="34">
        <f>G10+G11</f>
        <v>91766</v>
      </c>
      <c r="H9" s="35">
        <f aca="true" t="shared" si="0" ref="H9:H26">E9/D9*100</f>
        <v>237.5714125686121</v>
      </c>
    </row>
    <row r="10" spans="1:8" ht="21.75" customHeight="1">
      <c r="A10" s="41" t="s">
        <v>8</v>
      </c>
      <c r="B10" s="13" t="s">
        <v>9</v>
      </c>
      <c r="C10" s="30">
        <v>56620</v>
      </c>
      <c r="D10" s="30">
        <v>73714</v>
      </c>
      <c r="E10" s="30">
        <v>74665</v>
      </c>
      <c r="F10" s="30">
        <v>52855</v>
      </c>
      <c r="G10" s="30">
        <v>21810</v>
      </c>
      <c r="H10" s="11">
        <f t="shared" si="0"/>
        <v>101.29012127953985</v>
      </c>
    </row>
    <row r="11" spans="1:8" ht="21.75" customHeight="1">
      <c r="A11" s="42" t="s">
        <v>8</v>
      </c>
      <c r="B11" s="40" t="s">
        <v>10</v>
      </c>
      <c r="C11" s="39">
        <v>1023010</v>
      </c>
      <c r="D11" s="39">
        <v>319074</v>
      </c>
      <c r="E11" s="30">
        <v>858487</v>
      </c>
      <c r="F11" s="43">
        <v>788531</v>
      </c>
      <c r="G11" s="43">
        <v>69956</v>
      </c>
      <c r="H11" s="52">
        <f t="shared" si="0"/>
        <v>269.0557676275723</v>
      </c>
    </row>
    <row r="12" spans="1:8" s="1" customFormat="1" ht="21.75" customHeight="1">
      <c r="A12" s="14" t="s">
        <v>11</v>
      </c>
      <c r="B12" s="33" t="s">
        <v>13</v>
      </c>
      <c r="C12" s="34">
        <f>C13+C14</f>
        <v>487028</v>
      </c>
      <c r="D12" s="34">
        <f>D13+D14</f>
        <v>798429</v>
      </c>
      <c r="E12" s="34">
        <f>E13+E14</f>
        <v>530734</v>
      </c>
      <c r="F12" s="34">
        <f>F13+F14</f>
        <v>530734</v>
      </c>
      <c r="G12" s="34">
        <f>G13+G14</f>
        <v>0</v>
      </c>
      <c r="H12" s="35">
        <f t="shared" si="0"/>
        <v>66.47228494956971</v>
      </c>
    </row>
    <row r="13" spans="1:8" ht="21.75" customHeight="1">
      <c r="A13" s="41" t="s">
        <v>8</v>
      </c>
      <c r="B13" s="13" t="s">
        <v>14</v>
      </c>
      <c r="C13" s="30">
        <v>447526</v>
      </c>
      <c r="D13" s="30">
        <v>447526</v>
      </c>
      <c r="E13" s="30">
        <v>472685</v>
      </c>
      <c r="F13" s="30">
        <v>472685</v>
      </c>
      <c r="G13" s="30"/>
      <c r="H13" s="11">
        <f t="shared" si="0"/>
        <v>105.62179627552366</v>
      </c>
    </row>
    <row r="14" spans="1:8" ht="21.75" customHeight="1">
      <c r="A14" s="42" t="s">
        <v>15</v>
      </c>
      <c r="B14" s="40" t="s">
        <v>16</v>
      </c>
      <c r="C14" s="44">
        <v>39502</v>
      </c>
      <c r="D14" s="39">
        <v>350903</v>
      </c>
      <c r="E14" s="30">
        <v>58049</v>
      </c>
      <c r="F14" s="43">
        <v>58049</v>
      </c>
      <c r="G14" s="43"/>
      <c r="H14" s="52">
        <f t="shared" si="0"/>
        <v>16.542748280863943</v>
      </c>
    </row>
    <row r="15" spans="1:8" s="1" customFormat="1" ht="21.75" customHeight="1">
      <c r="A15" s="14" t="s">
        <v>17</v>
      </c>
      <c r="B15" s="33" t="s">
        <v>18</v>
      </c>
      <c r="C15" s="34"/>
      <c r="D15" s="34">
        <v>0</v>
      </c>
      <c r="E15" s="34"/>
      <c r="F15" s="34"/>
      <c r="G15" s="34"/>
      <c r="H15" s="35"/>
    </row>
    <row r="16" spans="1:8" s="1" customFormat="1" ht="21.75" customHeight="1">
      <c r="A16" s="14" t="s">
        <v>19</v>
      </c>
      <c r="B16" s="33" t="s">
        <v>20</v>
      </c>
      <c r="C16" s="34"/>
      <c r="D16" s="34">
        <v>383889</v>
      </c>
      <c r="E16" s="34">
        <v>0</v>
      </c>
      <c r="F16" s="34"/>
      <c r="G16" s="34"/>
      <c r="H16" s="35"/>
    </row>
    <row r="17" spans="1:10" s="1" customFormat="1" ht="21.75" customHeight="1">
      <c r="A17" s="14" t="s">
        <v>21</v>
      </c>
      <c r="B17" s="33" t="s">
        <v>22</v>
      </c>
      <c r="C17" s="34">
        <f>C18+C23</f>
        <v>1566658</v>
      </c>
      <c r="D17" s="34">
        <f>D18+D23+D26</f>
        <v>1321811</v>
      </c>
      <c r="E17" s="34">
        <f>E18+E23+E26</f>
        <v>1463886</v>
      </c>
      <c r="F17" s="34">
        <f>F18+F23+F26</f>
        <v>873854</v>
      </c>
      <c r="G17" s="34">
        <f>G18+G23+G26</f>
        <v>590032</v>
      </c>
      <c r="H17" s="35">
        <f t="shared" si="0"/>
        <v>110.74851094445424</v>
      </c>
      <c r="I17" s="50"/>
      <c r="J17" s="50"/>
    </row>
    <row r="18" spans="1:8" s="1" customFormat="1" ht="21.75" customHeight="1">
      <c r="A18" s="14" t="s">
        <v>12</v>
      </c>
      <c r="B18" s="33" t="s">
        <v>23</v>
      </c>
      <c r="C18" s="34">
        <f>C19+C20+C21+C22</f>
        <v>1527156</v>
      </c>
      <c r="D18" s="34">
        <f>D19+D20+D21+D22</f>
        <v>888821</v>
      </c>
      <c r="E18" s="34">
        <f>E19+E20+E21+E22</f>
        <v>1405837</v>
      </c>
      <c r="F18" s="34">
        <f>F19+F20+F21+F22</f>
        <v>840337</v>
      </c>
      <c r="G18" s="34">
        <f>G19+G20+G21+G22</f>
        <v>565500</v>
      </c>
      <c r="H18" s="35">
        <f t="shared" si="0"/>
        <v>158.16874263771896</v>
      </c>
    </row>
    <row r="19" spans="1:8" ht="21.75" customHeight="1">
      <c r="A19" s="17">
        <v>1</v>
      </c>
      <c r="B19" s="36" t="s">
        <v>24</v>
      </c>
      <c r="C19" s="45">
        <v>846300</v>
      </c>
      <c r="D19" s="46">
        <f>501617-218520-30000</f>
        <v>253097</v>
      </c>
      <c r="E19" s="46">
        <f>745776-15000</f>
        <v>730776</v>
      </c>
      <c r="F19" s="46">
        <v>294871</v>
      </c>
      <c r="G19" s="46">
        <f>450905-15000</f>
        <v>435905</v>
      </c>
      <c r="H19" s="11">
        <f t="shared" si="0"/>
        <v>288.7335685527683</v>
      </c>
    </row>
    <row r="20" spans="1:8" ht="21.75" customHeight="1">
      <c r="A20" s="6">
        <v>2</v>
      </c>
      <c r="B20" s="32" t="s">
        <v>25</v>
      </c>
      <c r="C20" s="47">
        <v>649590</v>
      </c>
      <c r="D20" s="31">
        <f>738107-12227-90156-17751-91</f>
        <v>617882</v>
      </c>
      <c r="E20" s="46">
        <f>700155-13646-43049</f>
        <v>643460</v>
      </c>
      <c r="F20" s="31">
        <f>563568-9458-33517</f>
        <v>520593</v>
      </c>
      <c r="G20" s="31">
        <f>136587-4188-9532</f>
        <v>122867</v>
      </c>
      <c r="H20" s="12">
        <f t="shared" si="0"/>
        <v>104.13962536536103</v>
      </c>
    </row>
    <row r="21" spans="1:8" ht="21.75" customHeight="1">
      <c r="A21" s="6">
        <v>3</v>
      </c>
      <c r="B21" s="32" t="s">
        <v>26</v>
      </c>
      <c r="C21" s="47">
        <v>17751</v>
      </c>
      <c r="D21" s="31">
        <v>17751</v>
      </c>
      <c r="E21" s="46">
        <v>17955</v>
      </c>
      <c r="F21" s="31">
        <v>15415</v>
      </c>
      <c r="G21" s="31">
        <v>2540</v>
      </c>
      <c r="H21" s="31">
        <f t="shared" si="0"/>
        <v>101.14923102923778</v>
      </c>
    </row>
    <row r="22" spans="1:8" ht="21.75" customHeight="1">
      <c r="A22" s="37">
        <v>4</v>
      </c>
      <c r="B22" s="38" t="s">
        <v>181</v>
      </c>
      <c r="C22" s="48">
        <v>13515</v>
      </c>
      <c r="D22" s="44">
        <v>91</v>
      </c>
      <c r="E22" s="46">
        <v>13646</v>
      </c>
      <c r="F22" s="44">
        <v>9458</v>
      </c>
      <c r="G22" s="44">
        <v>4188</v>
      </c>
      <c r="H22" s="31">
        <f>E22/D22*100</f>
        <v>14995.604395604394</v>
      </c>
    </row>
    <row r="23" spans="1:11" s="1" customFormat="1" ht="21.75" customHeight="1">
      <c r="A23" s="14" t="s">
        <v>11</v>
      </c>
      <c r="B23" s="33" t="s">
        <v>27</v>
      </c>
      <c r="C23" s="34">
        <f>SUM(C24:C25)</f>
        <v>39502</v>
      </c>
      <c r="D23" s="34">
        <f>SUM(D24:D25)</f>
        <v>350903</v>
      </c>
      <c r="E23" s="34">
        <f>SUM(E24:E25)</f>
        <v>58049</v>
      </c>
      <c r="F23" s="34">
        <f>SUM(F24:F25)</f>
        <v>33517</v>
      </c>
      <c r="G23" s="34">
        <f>SUM(G24:G25)</f>
        <v>24532</v>
      </c>
      <c r="H23" s="35">
        <f t="shared" si="0"/>
        <v>16.542748280863943</v>
      </c>
      <c r="K23" s="50"/>
    </row>
    <row r="24" spans="1:11" ht="21.75" customHeight="1">
      <c r="A24" s="17">
        <v>1</v>
      </c>
      <c r="B24" s="13" t="s">
        <v>28</v>
      </c>
      <c r="C24" s="30">
        <v>26000</v>
      </c>
      <c r="D24" s="30">
        <v>230747</v>
      </c>
      <c r="E24" s="30">
        <v>36560</v>
      </c>
      <c r="F24" s="30">
        <v>21560</v>
      </c>
      <c r="G24" s="30">
        <f>15000</f>
        <v>15000</v>
      </c>
      <c r="H24" s="11">
        <f t="shared" si="0"/>
        <v>15.844192990591427</v>
      </c>
      <c r="K24" s="50"/>
    </row>
    <row r="25" spans="1:11" ht="21.75" customHeight="1">
      <c r="A25" s="37">
        <v>2</v>
      </c>
      <c r="B25" s="40" t="s">
        <v>29</v>
      </c>
      <c r="C25" s="39">
        <v>13502</v>
      </c>
      <c r="D25" s="39">
        <v>120156</v>
      </c>
      <c r="E25" s="39">
        <v>21489</v>
      </c>
      <c r="F25" s="39">
        <v>11957</v>
      </c>
      <c r="G25" s="39">
        <v>9532</v>
      </c>
      <c r="H25" s="52">
        <f t="shared" si="0"/>
        <v>17.8842504743833</v>
      </c>
      <c r="K25" s="49"/>
    </row>
    <row r="26" spans="1:9" s="1" customFormat="1" ht="21.75" customHeight="1">
      <c r="A26" s="14" t="s">
        <v>17</v>
      </c>
      <c r="B26" s="33" t="s">
        <v>236</v>
      </c>
      <c r="C26" s="34"/>
      <c r="D26" s="34">
        <v>82087</v>
      </c>
      <c r="E26" s="34"/>
      <c r="F26" s="34"/>
      <c r="G26" s="34"/>
      <c r="H26" s="53">
        <f t="shared" si="0"/>
        <v>0</v>
      </c>
      <c r="I26" s="50"/>
    </row>
    <row r="27" spans="4:12" ht="15.75">
      <c r="D27" s="49"/>
      <c r="J27" s="49"/>
      <c r="L27" s="49"/>
    </row>
    <row r="28" spans="4:12" ht="15.75">
      <c r="D28" s="49"/>
      <c r="L28" s="49"/>
    </row>
    <row r="29" ht="15.75">
      <c r="L29" s="49"/>
    </row>
    <row r="30" ht="15.75">
      <c r="L30" s="49"/>
    </row>
    <row r="31" ht="15.75">
      <c r="L31" s="49"/>
    </row>
    <row r="32" ht="15.75">
      <c r="L32" s="49"/>
    </row>
    <row r="33" ht="15.75">
      <c r="L33" s="49"/>
    </row>
  </sheetData>
  <sheetProtection/>
  <mergeCells count="4">
    <mergeCell ref="D1:H1"/>
    <mergeCell ref="E4:H4"/>
    <mergeCell ref="A2:H2"/>
    <mergeCell ref="A3:H3"/>
  </mergeCells>
  <printOptions/>
  <pageMargins left="0.43" right="0.2" top="0.56" bottom="1" header="0.26" footer="0.5"/>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tabColor rgb="FFFF0000"/>
  </sheetPr>
  <dimension ref="A1:C17"/>
  <sheetViews>
    <sheetView zoomScalePageLayoutView="0" workbookViewId="0" topLeftCell="A1">
      <selection activeCell="A1" sqref="A1:IV16384"/>
    </sheetView>
  </sheetViews>
  <sheetFormatPr defaultColWidth="9.00390625" defaultRowHeight="15.75"/>
  <cols>
    <col min="1" max="1" width="5.25390625" style="95" customWidth="1"/>
    <col min="2" max="2" width="65.875" style="93" customWidth="1"/>
    <col min="3" max="3" width="24.125" style="93" customWidth="1"/>
    <col min="4" max="4" width="17.875" style="93" customWidth="1"/>
    <col min="5" max="16384" width="9.00390625" style="93" customWidth="1"/>
  </cols>
  <sheetData>
    <row r="1" spans="1:3" ht="16.5">
      <c r="A1" s="261" t="s">
        <v>118</v>
      </c>
      <c r="B1" s="261"/>
      <c r="C1" s="92" t="s">
        <v>220</v>
      </c>
    </row>
    <row r="2" spans="1:3" s="94" customFormat="1" ht="36" customHeight="1">
      <c r="A2" s="262" t="s">
        <v>329</v>
      </c>
      <c r="B2" s="262"/>
      <c r="C2" s="262"/>
    </row>
    <row r="3" spans="1:3" s="94" customFormat="1" ht="18.75">
      <c r="A3" s="263" t="s">
        <v>209</v>
      </c>
      <c r="B3" s="263"/>
      <c r="C3" s="263"/>
    </row>
    <row r="4" ht="27.75" customHeight="1">
      <c r="C4" s="96" t="s">
        <v>182</v>
      </c>
    </row>
    <row r="5" spans="1:3" s="98" customFormat="1" ht="27.75" customHeight="1">
      <c r="A5" s="97" t="s">
        <v>210</v>
      </c>
      <c r="B5" s="97" t="s">
        <v>2</v>
      </c>
      <c r="C5" s="97" t="s">
        <v>211</v>
      </c>
    </row>
    <row r="6" spans="1:3" s="98" customFormat="1" ht="27.75" customHeight="1">
      <c r="A6" s="97"/>
      <c r="B6" s="99" t="s">
        <v>212</v>
      </c>
      <c r="C6" s="97">
        <f>C7+C8</f>
        <v>498266.1048</v>
      </c>
    </row>
    <row r="7" spans="1:3" s="94" customFormat="1" ht="27.75" customHeight="1">
      <c r="A7" s="97" t="s">
        <v>5</v>
      </c>
      <c r="B7" s="100" t="s">
        <v>213</v>
      </c>
      <c r="C7" s="100">
        <v>47775</v>
      </c>
    </row>
    <row r="8" spans="1:3" s="94" customFormat="1" ht="27.75" customHeight="1">
      <c r="A8" s="97" t="s">
        <v>21</v>
      </c>
      <c r="B8" s="100" t="s">
        <v>214</v>
      </c>
      <c r="C8" s="100">
        <f>C9+C13</f>
        <v>450491.1048</v>
      </c>
    </row>
    <row r="9" spans="1:3" s="94" customFormat="1" ht="27.75" customHeight="1">
      <c r="A9" s="97" t="s">
        <v>12</v>
      </c>
      <c r="B9" s="100" t="s">
        <v>215</v>
      </c>
      <c r="C9" s="100">
        <f>SUM(C10:C12)</f>
        <v>9586</v>
      </c>
    </row>
    <row r="10" spans="1:3" ht="56.25" customHeight="1">
      <c r="A10" s="101">
        <v>1</v>
      </c>
      <c r="B10" s="77" t="s">
        <v>216</v>
      </c>
      <c r="C10" s="102">
        <v>54</v>
      </c>
    </row>
    <row r="11" spans="1:3" ht="56.25" customHeight="1">
      <c r="A11" s="101">
        <v>2</v>
      </c>
      <c r="B11" s="77" t="s">
        <v>248</v>
      </c>
      <c r="C11" s="102">
        <v>8506</v>
      </c>
    </row>
    <row r="12" spans="1:3" ht="56.25" customHeight="1">
      <c r="A12" s="181">
        <v>3</v>
      </c>
      <c r="B12" s="182" t="s">
        <v>249</v>
      </c>
      <c r="C12" s="183">
        <v>1026</v>
      </c>
    </row>
    <row r="13" spans="1:3" s="94" customFormat="1" ht="27.75" customHeight="1">
      <c r="A13" s="97" t="s">
        <v>11</v>
      </c>
      <c r="B13" s="100" t="s">
        <v>217</v>
      </c>
      <c r="C13" s="100">
        <f>SUM(C14:C15)</f>
        <v>440905.1048</v>
      </c>
    </row>
    <row r="14" spans="1:3" ht="27.75" customHeight="1">
      <c r="A14" s="181">
        <v>1</v>
      </c>
      <c r="B14" s="183" t="s">
        <v>218</v>
      </c>
      <c r="C14" s="102">
        <v>15000</v>
      </c>
    </row>
    <row r="15" spans="1:3" ht="27.75" customHeight="1">
      <c r="A15" s="103">
        <v>2</v>
      </c>
      <c r="B15" s="104" t="s">
        <v>219</v>
      </c>
      <c r="C15" s="104">
        <v>425905.1048</v>
      </c>
    </row>
    <row r="17" spans="2:3" ht="18.75">
      <c r="B17" s="264"/>
      <c r="C17" s="264"/>
    </row>
  </sheetData>
  <sheetProtection/>
  <mergeCells count="4">
    <mergeCell ref="A1:B1"/>
    <mergeCell ref="A2:C2"/>
    <mergeCell ref="A3:C3"/>
    <mergeCell ref="B17:C17"/>
  </mergeCells>
  <printOptions/>
  <pageMargins left="0.69" right="0.7" top="0.89" bottom="0.2" header="0.86" footer="0.3"/>
  <pageSetup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rgb="FFFF0000"/>
  </sheetPr>
  <dimension ref="A1:C23"/>
  <sheetViews>
    <sheetView tabSelected="1" zoomScalePageLayoutView="0" workbookViewId="0" topLeftCell="A10">
      <selection activeCell="A10" sqref="A10"/>
    </sheetView>
  </sheetViews>
  <sheetFormatPr defaultColWidth="11.875" defaultRowHeight="15.75"/>
  <cols>
    <col min="1" max="1" width="5.25390625" style="108" customWidth="1"/>
    <col min="2" max="2" width="75.625" style="106" customWidth="1"/>
    <col min="3" max="3" width="28.25390625" style="110" customWidth="1"/>
    <col min="4" max="4" width="46.25390625" style="106" customWidth="1"/>
    <col min="5" max="247" width="9.00390625" style="106" customWidth="1"/>
    <col min="248" max="248" width="5.25390625" style="106" customWidth="1"/>
    <col min="249" max="249" width="56.875" style="106" customWidth="1"/>
    <col min="250" max="250" width="11.875" style="106" customWidth="1"/>
    <col min="251" max="251" width="11.00390625" style="106" customWidth="1"/>
    <col min="252" max="252" width="11.375" style="106" customWidth="1"/>
    <col min="253" max="253" width="11.00390625" style="106" customWidth="1"/>
    <col min="254" max="254" width="11.25390625" style="106" customWidth="1"/>
    <col min="255" max="255" width="10.875" style="106" customWidth="1"/>
    <col min="256" max="16384" width="11.875" style="106" customWidth="1"/>
  </cols>
  <sheetData>
    <row r="1" spans="1:3" ht="26.25" customHeight="1">
      <c r="A1" s="265" t="s">
        <v>118</v>
      </c>
      <c r="B1" s="265"/>
      <c r="C1" s="184" t="s">
        <v>224</v>
      </c>
    </row>
    <row r="2" spans="1:3" s="107" customFormat="1" ht="45" customHeight="1">
      <c r="A2" s="266" t="s">
        <v>330</v>
      </c>
      <c r="B2" s="266"/>
      <c r="C2" s="266"/>
    </row>
    <row r="3" spans="1:3" s="107" customFormat="1" ht="21.75" customHeight="1">
      <c r="A3" s="267"/>
      <c r="B3" s="267"/>
      <c r="C3" s="267"/>
    </row>
    <row r="4" ht="16.5" customHeight="1">
      <c r="C4" s="105" t="s">
        <v>182</v>
      </c>
    </row>
    <row r="5" spans="1:3" s="109" customFormat="1" ht="36" customHeight="1">
      <c r="A5" s="185" t="s">
        <v>210</v>
      </c>
      <c r="B5" s="185" t="s">
        <v>2</v>
      </c>
      <c r="C5" s="186" t="s">
        <v>221</v>
      </c>
    </row>
    <row r="6" spans="1:3" s="107" customFormat="1" ht="30" customHeight="1">
      <c r="A6" s="116" t="s">
        <v>5</v>
      </c>
      <c r="B6" s="117" t="s">
        <v>213</v>
      </c>
      <c r="C6" s="118">
        <v>447526</v>
      </c>
    </row>
    <row r="7" spans="1:3" ht="30" customHeight="1">
      <c r="A7" s="187">
        <v>1</v>
      </c>
      <c r="B7" s="188" t="s">
        <v>222</v>
      </c>
      <c r="C7" s="189">
        <v>424910</v>
      </c>
    </row>
    <row r="8" spans="1:3" ht="30" customHeight="1">
      <c r="A8" s="187">
        <v>2</v>
      </c>
      <c r="B8" s="188" t="s">
        <v>67</v>
      </c>
      <c r="C8" s="189">
        <v>47775</v>
      </c>
    </row>
    <row r="9" spans="1:3" s="107" customFormat="1" ht="30" customHeight="1">
      <c r="A9" s="116" t="s">
        <v>21</v>
      </c>
      <c r="B9" s="117" t="s">
        <v>214</v>
      </c>
      <c r="C9" s="190">
        <v>39502</v>
      </c>
    </row>
    <row r="10" spans="1:3" s="107" customFormat="1" ht="30" customHeight="1">
      <c r="A10" s="116" t="s">
        <v>12</v>
      </c>
      <c r="B10" s="117" t="s">
        <v>222</v>
      </c>
      <c r="C10" s="190">
        <f>SUM(C11:C16)</f>
        <v>33517</v>
      </c>
    </row>
    <row r="11" spans="1:3" ht="69" customHeight="1">
      <c r="A11" s="187">
        <v>1</v>
      </c>
      <c r="B11" s="188" t="s">
        <v>243</v>
      </c>
      <c r="C11" s="189">
        <v>8606</v>
      </c>
    </row>
    <row r="12" spans="1:3" ht="30" customHeight="1">
      <c r="A12" s="187">
        <v>2</v>
      </c>
      <c r="B12" s="188" t="s">
        <v>179</v>
      </c>
      <c r="C12" s="189">
        <v>340</v>
      </c>
    </row>
    <row r="13" spans="1:3" ht="30" customHeight="1">
      <c r="A13" s="187">
        <v>3</v>
      </c>
      <c r="B13" s="188" t="s">
        <v>244</v>
      </c>
      <c r="C13" s="189">
        <v>537</v>
      </c>
    </row>
    <row r="14" spans="1:3" ht="30" customHeight="1">
      <c r="A14" s="187">
        <v>4</v>
      </c>
      <c r="B14" s="188" t="s">
        <v>245</v>
      </c>
      <c r="C14" s="189">
        <v>1974</v>
      </c>
    </row>
    <row r="15" spans="1:3" ht="30" customHeight="1">
      <c r="A15" s="187">
        <v>5</v>
      </c>
      <c r="B15" s="188" t="s">
        <v>246</v>
      </c>
      <c r="C15" s="189">
        <v>500</v>
      </c>
    </row>
    <row r="16" spans="1:3" ht="30" customHeight="1">
      <c r="A16" s="187">
        <v>6</v>
      </c>
      <c r="B16" s="188" t="s">
        <v>247</v>
      </c>
      <c r="C16" s="189">
        <v>21560</v>
      </c>
    </row>
    <row r="17" spans="1:3" s="107" customFormat="1" ht="30" customHeight="1">
      <c r="A17" s="116" t="s">
        <v>11</v>
      </c>
      <c r="B17" s="117" t="s">
        <v>223</v>
      </c>
      <c r="C17" s="190">
        <f>SUM(C18:C20)</f>
        <v>24532</v>
      </c>
    </row>
    <row r="18" spans="1:3" s="107" customFormat="1" ht="49.5">
      <c r="A18" s="187">
        <v>1</v>
      </c>
      <c r="B18" s="188" t="s">
        <v>248</v>
      </c>
      <c r="C18" s="189">
        <v>8506</v>
      </c>
    </row>
    <row r="19" spans="1:3" s="107" customFormat="1" ht="33">
      <c r="A19" s="187">
        <v>2</v>
      </c>
      <c r="B19" s="188" t="s">
        <v>249</v>
      </c>
      <c r="C19" s="189">
        <v>1026</v>
      </c>
    </row>
    <row r="20" spans="1:3" s="107" customFormat="1" ht="30" customHeight="1">
      <c r="A20" s="187">
        <v>3</v>
      </c>
      <c r="B20" s="188" t="s">
        <v>331</v>
      </c>
      <c r="C20" s="189">
        <v>15000</v>
      </c>
    </row>
    <row r="21" spans="1:3" s="107" customFormat="1" ht="30" customHeight="1">
      <c r="A21" s="116" t="s">
        <v>76</v>
      </c>
      <c r="B21" s="117" t="s">
        <v>211</v>
      </c>
      <c r="C21" s="118">
        <f>SUM(C22:C23)</f>
        <v>530734</v>
      </c>
    </row>
    <row r="22" spans="1:3" ht="30" customHeight="1">
      <c r="A22" s="187">
        <v>1</v>
      </c>
      <c r="B22" s="188" t="s">
        <v>222</v>
      </c>
      <c r="C22" s="191">
        <f>C7+C10</f>
        <v>458427</v>
      </c>
    </row>
    <row r="23" spans="1:3" ht="30" customHeight="1">
      <c r="A23" s="187">
        <v>2</v>
      </c>
      <c r="B23" s="188" t="s">
        <v>67</v>
      </c>
      <c r="C23" s="191">
        <f>C8+C17</f>
        <v>72307</v>
      </c>
    </row>
  </sheetData>
  <sheetProtection/>
  <mergeCells count="3">
    <mergeCell ref="A1:B1"/>
    <mergeCell ref="A2:C2"/>
    <mergeCell ref="A3:C3"/>
  </mergeCells>
  <printOptions/>
  <pageMargins left="0.7" right="0.51" top="0.8" bottom="0.44" header="0.8" footer="0.3"/>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rgb="FFFF0000"/>
  </sheetPr>
  <dimension ref="A1:H35"/>
  <sheetViews>
    <sheetView zoomScalePageLayoutView="0" workbookViewId="0" topLeftCell="A4">
      <pane xSplit="2" ySplit="2" topLeftCell="C24" activePane="bottomRight" state="frozen"/>
      <selection pane="topLeft" activeCell="A4" sqref="A4"/>
      <selection pane="topRight" activeCell="C4" sqref="C4"/>
      <selection pane="bottomLeft" activeCell="A6" sqref="A6"/>
      <selection pane="bottomRight" activeCell="H32" sqref="H32"/>
    </sheetView>
  </sheetViews>
  <sheetFormatPr defaultColWidth="9.00390625" defaultRowHeight="15.75"/>
  <cols>
    <col min="1" max="1" width="6.875" style="0" customWidth="1"/>
    <col min="2" max="2" width="39.00390625" style="0" customWidth="1"/>
    <col min="3" max="3" width="12.375" style="0" customWidth="1"/>
    <col min="4" max="4" width="10.50390625" style="0" customWidth="1"/>
    <col min="5" max="5" width="10.75390625" style="0" customWidth="1"/>
    <col min="6" max="6" width="9.875" style="0" customWidth="1"/>
    <col min="8" max="8" width="11.125" style="0" bestFit="1" customWidth="1"/>
  </cols>
  <sheetData>
    <row r="1" spans="1:6" ht="22.5" customHeight="1">
      <c r="A1" s="1" t="s">
        <v>118</v>
      </c>
      <c r="E1" s="224" t="s">
        <v>62</v>
      </c>
      <c r="F1" s="224"/>
    </row>
    <row r="2" spans="1:6" ht="21" customHeight="1">
      <c r="A2" s="224" t="s">
        <v>237</v>
      </c>
      <c r="B2" s="224"/>
      <c r="C2" s="224"/>
      <c r="D2" s="224"/>
      <c r="E2" s="224"/>
      <c r="F2" s="224"/>
    </row>
    <row r="3" spans="1:6" ht="15.75">
      <c r="A3" s="228" t="s">
        <v>0</v>
      </c>
      <c r="B3" s="228"/>
      <c r="C3" s="228"/>
      <c r="D3" s="228"/>
      <c r="E3" s="228"/>
      <c r="F3" s="228"/>
    </row>
    <row r="4" spans="5:6" ht="15.75">
      <c r="E4" s="229" t="s">
        <v>4</v>
      </c>
      <c r="F4" s="229"/>
    </row>
    <row r="5" spans="1:7" ht="47.25">
      <c r="A5" s="8" t="s">
        <v>1</v>
      </c>
      <c r="B5" s="8" t="s">
        <v>2</v>
      </c>
      <c r="C5" s="8" t="s">
        <v>175</v>
      </c>
      <c r="D5" s="8" t="s">
        <v>238</v>
      </c>
      <c r="E5" s="8" t="s">
        <v>235</v>
      </c>
      <c r="F5" s="8" t="s">
        <v>3</v>
      </c>
      <c r="G5" s="2"/>
    </row>
    <row r="6" spans="1:6" ht="15.75">
      <c r="A6" s="14" t="s">
        <v>5</v>
      </c>
      <c r="B6" s="14" t="s">
        <v>21</v>
      </c>
      <c r="C6" s="14">
        <v>1</v>
      </c>
      <c r="D6" s="14">
        <v>2</v>
      </c>
      <c r="E6" s="14">
        <v>3</v>
      </c>
      <c r="F6" s="14" t="s">
        <v>122</v>
      </c>
    </row>
    <row r="7" spans="1:6" s="1" customFormat="1" ht="22.5" customHeight="1">
      <c r="A7" s="14" t="s">
        <v>5</v>
      </c>
      <c r="B7" s="33" t="s">
        <v>32</v>
      </c>
      <c r="C7" s="34"/>
      <c r="D7" s="34"/>
      <c r="E7" s="34"/>
      <c r="F7" s="34"/>
    </row>
    <row r="8" spans="1:6" s="1" customFormat="1" ht="22.5" customHeight="1">
      <c r="A8" s="14" t="s">
        <v>12</v>
      </c>
      <c r="B8" s="33" t="s">
        <v>33</v>
      </c>
      <c r="C8" s="34">
        <f>C9+C10+C13+C14</f>
        <v>1483101</v>
      </c>
      <c r="D8" s="34">
        <f>D9+D10+D13+D14</f>
        <v>1209697</v>
      </c>
      <c r="E8" s="34">
        <f>E9+E10+E13+E14</f>
        <v>1372120</v>
      </c>
      <c r="F8" s="35">
        <f>E8/D8*100</f>
        <v>113.42675066566257</v>
      </c>
    </row>
    <row r="9" spans="1:6" ht="22.5" customHeight="1">
      <c r="A9" s="17">
        <v>1</v>
      </c>
      <c r="B9" s="13" t="s">
        <v>34</v>
      </c>
      <c r="C9" s="30">
        <v>996073</v>
      </c>
      <c r="D9" s="30">
        <v>263225</v>
      </c>
      <c r="E9" s="30">
        <v>841386</v>
      </c>
      <c r="F9" s="11">
        <f aca="true" t="shared" si="0" ref="F9:F30">E9/D9*100</f>
        <v>319.6451704815272</v>
      </c>
    </row>
    <row r="10" spans="1:6" ht="22.5" customHeight="1">
      <c r="A10" s="6">
        <v>2</v>
      </c>
      <c r="B10" s="5" t="s">
        <v>13</v>
      </c>
      <c r="C10" s="10">
        <f>C11+C12</f>
        <v>487028</v>
      </c>
      <c r="D10" s="10">
        <f>D11+D12</f>
        <v>798429</v>
      </c>
      <c r="E10" s="10">
        <f>E11+E12</f>
        <v>530734</v>
      </c>
      <c r="F10" s="12">
        <f t="shared" si="0"/>
        <v>66.47228494956971</v>
      </c>
    </row>
    <row r="11" spans="1:6" ht="22.5" customHeight="1">
      <c r="A11" s="4" t="s">
        <v>8</v>
      </c>
      <c r="B11" s="5" t="s">
        <v>14</v>
      </c>
      <c r="C11" s="10">
        <v>447526</v>
      </c>
      <c r="D11" s="10">
        <v>447526</v>
      </c>
      <c r="E11" s="10">
        <v>472685</v>
      </c>
      <c r="F11" s="12">
        <f t="shared" si="0"/>
        <v>105.62179627552366</v>
      </c>
    </row>
    <row r="12" spans="1:6" ht="22.5" customHeight="1">
      <c r="A12" s="4" t="s">
        <v>15</v>
      </c>
      <c r="B12" s="5" t="s">
        <v>16</v>
      </c>
      <c r="C12" s="10">
        <v>39502</v>
      </c>
      <c r="D12" s="10">
        <v>350903</v>
      </c>
      <c r="E12" s="10">
        <v>58049</v>
      </c>
      <c r="F12" s="12">
        <f t="shared" si="0"/>
        <v>16.542748280863943</v>
      </c>
    </row>
    <row r="13" spans="1:6" ht="22.5" customHeight="1">
      <c r="A13" s="6">
        <v>3</v>
      </c>
      <c r="B13" s="5" t="s">
        <v>18</v>
      </c>
      <c r="C13" s="10"/>
      <c r="D13" s="10">
        <v>0</v>
      </c>
      <c r="E13" s="10"/>
      <c r="F13" s="12"/>
    </row>
    <row r="14" spans="1:6" ht="22.5" customHeight="1">
      <c r="A14" s="37">
        <v>4</v>
      </c>
      <c r="B14" s="40" t="s">
        <v>20</v>
      </c>
      <c r="C14" s="44"/>
      <c r="D14" s="44">
        <v>148043</v>
      </c>
      <c r="E14" s="44">
        <v>0</v>
      </c>
      <c r="F14" s="52">
        <f t="shared" si="0"/>
        <v>0</v>
      </c>
    </row>
    <row r="15" spans="1:6" s="1" customFormat="1" ht="22.5" customHeight="1">
      <c r="A15" s="14" t="s">
        <v>11</v>
      </c>
      <c r="B15" s="33" t="s">
        <v>35</v>
      </c>
      <c r="C15" s="34">
        <f>C16+C17</f>
        <v>1483101</v>
      </c>
      <c r="D15" s="34">
        <f>D16+D17+D20</f>
        <v>1181877</v>
      </c>
      <c r="E15" s="34">
        <f>E16+E17+E20</f>
        <v>1372120</v>
      </c>
      <c r="F15" s="35">
        <f t="shared" si="0"/>
        <v>116.09668349582908</v>
      </c>
    </row>
    <row r="16" spans="1:6" ht="22.5" customHeight="1">
      <c r="A16" s="17">
        <v>1</v>
      </c>
      <c r="B16" s="13" t="s">
        <v>36</v>
      </c>
      <c r="C16" s="59">
        <v>951951</v>
      </c>
      <c r="D16" s="46">
        <v>875412</v>
      </c>
      <c r="E16" s="46">
        <v>873854</v>
      </c>
      <c r="F16" s="11">
        <f t="shared" si="0"/>
        <v>99.82202665716257</v>
      </c>
    </row>
    <row r="17" spans="1:6" ht="22.5" customHeight="1">
      <c r="A17" s="6">
        <v>2</v>
      </c>
      <c r="B17" s="5" t="s">
        <v>37</v>
      </c>
      <c r="C17" s="31">
        <f>C18+C19</f>
        <v>531150</v>
      </c>
      <c r="D17" s="31">
        <f>D18+D19</f>
        <v>306465</v>
      </c>
      <c r="E17" s="31">
        <f>E18+E19</f>
        <v>498266</v>
      </c>
      <c r="F17" s="12">
        <f t="shared" si="0"/>
        <v>162.58496076224037</v>
      </c>
    </row>
    <row r="18" spans="1:6" ht="22.5" customHeight="1">
      <c r="A18" s="4" t="s">
        <v>8</v>
      </c>
      <c r="B18" s="5" t="s">
        <v>38</v>
      </c>
      <c r="C18" s="60">
        <v>45984</v>
      </c>
      <c r="D18" s="31">
        <v>45984</v>
      </c>
      <c r="E18" s="31">
        <v>47775</v>
      </c>
      <c r="F18" s="12">
        <f t="shared" si="0"/>
        <v>103.89483298538622</v>
      </c>
    </row>
    <row r="19" spans="1:6" ht="22.5" customHeight="1">
      <c r="A19" s="4" t="s">
        <v>8</v>
      </c>
      <c r="B19" s="5" t="s">
        <v>39</v>
      </c>
      <c r="C19" s="60">
        <v>485166</v>
      </c>
      <c r="D19" s="31">
        <v>260481</v>
      </c>
      <c r="E19" s="31">
        <v>450491</v>
      </c>
      <c r="F19" s="12">
        <f t="shared" si="0"/>
        <v>172.9458194647594</v>
      </c>
    </row>
    <row r="20" spans="1:7" ht="22.5" customHeight="1">
      <c r="A20" s="37">
        <v>3</v>
      </c>
      <c r="B20" s="54" t="s">
        <v>30</v>
      </c>
      <c r="C20" s="61"/>
      <c r="D20" s="61"/>
      <c r="E20" s="61"/>
      <c r="F20" s="52"/>
      <c r="G20" s="49">
        <f>D8-D15</f>
        <v>27820</v>
      </c>
    </row>
    <row r="21" spans="1:6" s="1" customFormat="1" ht="22.5" customHeight="1">
      <c r="A21" s="14" t="s">
        <v>21</v>
      </c>
      <c r="B21" s="33" t="s">
        <v>40</v>
      </c>
      <c r="C21" s="34"/>
      <c r="D21" s="34"/>
      <c r="E21" s="34"/>
      <c r="F21" s="53"/>
    </row>
    <row r="22" spans="1:6" s="1" customFormat="1" ht="22.5" customHeight="1">
      <c r="A22" s="14" t="s">
        <v>12</v>
      </c>
      <c r="B22" s="33" t="s">
        <v>33</v>
      </c>
      <c r="C22" s="34">
        <f>C23+C24</f>
        <v>614707</v>
      </c>
      <c r="D22" s="34">
        <f>D23+D24+D27+D28</f>
        <v>671874</v>
      </c>
      <c r="E22" s="34">
        <f>E23+E24+E27+E28</f>
        <v>590032</v>
      </c>
      <c r="F22" s="35">
        <f t="shared" si="0"/>
        <v>87.81884698619086</v>
      </c>
    </row>
    <row r="23" spans="1:6" ht="22.5" customHeight="1">
      <c r="A23" s="17">
        <v>1</v>
      </c>
      <c r="B23" s="13" t="s">
        <v>34</v>
      </c>
      <c r="C23" s="55">
        <v>83557</v>
      </c>
      <c r="D23" s="46">
        <v>129563</v>
      </c>
      <c r="E23" s="46">
        <v>91766</v>
      </c>
      <c r="F23" s="11">
        <f t="shared" si="0"/>
        <v>70.82731952795164</v>
      </c>
    </row>
    <row r="24" spans="1:6" ht="22.5" customHeight="1">
      <c r="A24" s="6">
        <v>2</v>
      </c>
      <c r="B24" s="5" t="s">
        <v>41</v>
      </c>
      <c r="C24" s="31">
        <f>C25+C26</f>
        <v>531150</v>
      </c>
      <c r="D24" s="31">
        <f>D25+D26</f>
        <v>306465</v>
      </c>
      <c r="E24" s="31">
        <f>E25+E26</f>
        <v>498266</v>
      </c>
      <c r="F24" s="12">
        <f t="shared" si="0"/>
        <v>162.58496076224037</v>
      </c>
    </row>
    <row r="25" spans="1:6" ht="22.5" customHeight="1">
      <c r="A25" s="4" t="s">
        <v>8</v>
      </c>
      <c r="B25" s="5" t="s">
        <v>14</v>
      </c>
      <c r="C25" s="60">
        <v>45984</v>
      </c>
      <c r="D25" s="31">
        <v>45984</v>
      </c>
      <c r="E25" s="31">
        <v>47775</v>
      </c>
      <c r="F25" s="12">
        <f t="shared" si="0"/>
        <v>103.89483298538622</v>
      </c>
    </row>
    <row r="26" spans="1:6" ht="22.5" customHeight="1">
      <c r="A26" s="4" t="s">
        <v>8</v>
      </c>
      <c r="B26" s="5" t="s">
        <v>16</v>
      </c>
      <c r="C26" s="60">
        <v>485166</v>
      </c>
      <c r="D26" s="31">
        <v>260481</v>
      </c>
      <c r="E26" s="31">
        <v>450491</v>
      </c>
      <c r="F26" s="12">
        <f t="shared" si="0"/>
        <v>172.9458194647594</v>
      </c>
    </row>
    <row r="27" spans="1:6" ht="22.5" customHeight="1">
      <c r="A27" s="6">
        <v>3</v>
      </c>
      <c r="B27" s="5" t="s">
        <v>18</v>
      </c>
      <c r="C27" s="31"/>
      <c r="D27" s="31">
        <v>0</v>
      </c>
      <c r="E27" s="31"/>
      <c r="F27" s="12"/>
    </row>
    <row r="28" spans="1:6" ht="22.5" customHeight="1">
      <c r="A28" s="37">
        <v>4</v>
      </c>
      <c r="B28" s="7" t="s">
        <v>20</v>
      </c>
      <c r="C28" s="62"/>
      <c r="D28" s="62">
        <v>235846</v>
      </c>
      <c r="E28" s="62"/>
      <c r="F28" s="52">
        <f t="shared" si="0"/>
        <v>0</v>
      </c>
    </row>
    <row r="29" spans="1:6" s="1" customFormat="1" ht="22.5" customHeight="1">
      <c r="A29" s="14" t="s">
        <v>11</v>
      </c>
      <c r="B29" s="33" t="s">
        <v>35</v>
      </c>
      <c r="C29" s="34">
        <f>C30+C31</f>
        <v>610327</v>
      </c>
      <c r="D29" s="34">
        <f>D30+D31</f>
        <v>446398</v>
      </c>
      <c r="E29" s="34">
        <f>E30+E31</f>
        <v>590032</v>
      </c>
      <c r="F29" s="35">
        <f t="shared" si="0"/>
        <v>132.1762194275064</v>
      </c>
    </row>
    <row r="30" spans="1:6" ht="22.5" customHeight="1">
      <c r="A30" s="56">
        <v>1</v>
      </c>
      <c r="B30" s="28" t="s">
        <v>172</v>
      </c>
      <c r="C30" s="63">
        <v>610327</v>
      </c>
      <c r="D30" s="64">
        <v>446398</v>
      </c>
      <c r="E30" s="64">
        <v>590032</v>
      </c>
      <c r="F30" s="11">
        <f t="shared" si="0"/>
        <v>132.1762194275064</v>
      </c>
    </row>
    <row r="31" spans="1:8" ht="22.5" customHeight="1">
      <c r="A31" s="57">
        <v>3</v>
      </c>
      <c r="B31" s="58" t="s">
        <v>30</v>
      </c>
      <c r="C31" s="65"/>
      <c r="D31" s="65"/>
      <c r="E31" s="65">
        <v>0</v>
      </c>
      <c r="F31" s="51"/>
      <c r="G31" s="49"/>
      <c r="H31" s="91"/>
    </row>
    <row r="32" ht="15.75">
      <c r="H32" s="49"/>
    </row>
    <row r="33" ht="15.75">
      <c r="D33" s="49"/>
    </row>
    <row r="34" ht="15.75">
      <c r="D34" s="49"/>
    </row>
    <row r="35" ht="15.75">
      <c r="D35" s="49"/>
    </row>
  </sheetData>
  <sheetProtection/>
  <mergeCells count="4">
    <mergeCell ref="A2:F2"/>
    <mergeCell ref="A3:F3"/>
    <mergeCell ref="E4:F4"/>
    <mergeCell ref="E1:F1"/>
  </mergeCells>
  <printOptions/>
  <pageMargins left="0.4" right="0.24" top="0.51" bottom="1" header="0.2"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I32"/>
  <sheetViews>
    <sheetView zoomScalePageLayoutView="0" workbookViewId="0" topLeftCell="A5">
      <pane xSplit="2" ySplit="2" topLeftCell="C25" activePane="bottomRight" state="frozen"/>
      <selection pane="topLeft" activeCell="A5" sqref="A5"/>
      <selection pane="topRight" activeCell="C5" sqref="C5"/>
      <selection pane="bottomLeft" activeCell="A7" sqref="A7"/>
      <selection pane="bottomRight" activeCell="A8" sqref="A8:IV8"/>
    </sheetView>
  </sheetViews>
  <sheetFormatPr defaultColWidth="9.00390625" defaultRowHeight="15.75"/>
  <cols>
    <col min="1" max="1" width="5.625" style="0" customWidth="1"/>
    <col min="2" max="2" width="51.25390625" style="0" customWidth="1"/>
    <col min="3" max="3" width="13.625" style="0" customWidth="1"/>
    <col min="4" max="4" width="12.00390625" style="0" customWidth="1"/>
    <col min="5" max="5" width="11.75390625" style="0" customWidth="1"/>
    <col min="6" max="6" width="12.00390625" style="0" customWidth="1"/>
    <col min="7" max="7" width="11.50390625" style="0" customWidth="1"/>
  </cols>
  <sheetData>
    <row r="1" spans="1:8" ht="15.75">
      <c r="A1" s="1" t="s">
        <v>118</v>
      </c>
      <c r="F1" s="224" t="s">
        <v>61</v>
      </c>
      <c r="G1" s="224"/>
      <c r="H1" s="224"/>
    </row>
    <row r="2" spans="1:8" ht="18.75">
      <c r="A2" s="226" t="s">
        <v>239</v>
      </c>
      <c r="B2" s="226"/>
      <c r="C2" s="226"/>
      <c r="D2" s="226"/>
      <c r="E2" s="226"/>
      <c r="F2" s="226"/>
      <c r="G2" s="226"/>
      <c r="H2" s="226"/>
    </row>
    <row r="3" spans="1:8" ht="15.75">
      <c r="A3" s="228" t="s">
        <v>0</v>
      </c>
      <c r="B3" s="228"/>
      <c r="C3" s="228"/>
      <c r="D3" s="228"/>
      <c r="E3" s="228"/>
      <c r="F3" s="228"/>
      <c r="G3" s="228"/>
      <c r="H3" s="228"/>
    </row>
    <row r="4" spans="6:8" ht="15.75">
      <c r="F4" s="228" t="s">
        <v>4</v>
      </c>
      <c r="G4" s="228"/>
      <c r="H4" s="228"/>
    </row>
    <row r="5" spans="1:9" ht="21.75" customHeight="1">
      <c r="A5" s="230" t="s">
        <v>1</v>
      </c>
      <c r="B5" s="230" t="s">
        <v>2</v>
      </c>
      <c r="C5" s="230" t="s">
        <v>238</v>
      </c>
      <c r="D5" s="230"/>
      <c r="E5" s="230" t="s">
        <v>235</v>
      </c>
      <c r="F5" s="230"/>
      <c r="G5" s="230" t="s">
        <v>3</v>
      </c>
      <c r="H5" s="230"/>
      <c r="I5" s="2"/>
    </row>
    <row r="6" spans="1:9" ht="50.25" customHeight="1">
      <c r="A6" s="230"/>
      <c r="B6" s="230"/>
      <c r="C6" s="8" t="s">
        <v>42</v>
      </c>
      <c r="D6" s="8" t="s">
        <v>121</v>
      </c>
      <c r="E6" s="8" t="s">
        <v>42</v>
      </c>
      <c r="F6" s="8" t="s">
        <v>121</v>
      </c>
      <c r="G6" s="8" t="s">
        <v>42</v>
      </c>
      <c r="H6" s="8" t="s">
        <v>121</v>
      </c>
      <c r="I6" s="2"/>
    </row>
    <row r="7" spans="1:8" ht="21.75" customHeight="1">
      <c r="A7" s="14" t="s">
        <v>5</v>
      </c>
      <c r="B7" s="14" t="s">
        <v>21</v>
      </c>
      <c r="C7" s="14">
        <v>1</v>
      </c>
      <c r="D7" s="14">
        <v>2</v>
      </c>
      <c r="E7" s="14">
        <v>3</v>
      </c>
      <c r="F7" s="14">
        <v>4</v>
      </c>
      <c r="G7" s="14" t="s">
        <v>43</v>
      </c>
      <c r="H7" s="14" t="s">
        <v>44</v>
      </c>
    </row>
    <row r="8" spans="1:9" ht="21" customHeight="1">
      <c r="A8" s="23"/>
      <c r="B8" s="33" t="s">
        <v>45</v>
      </c>
      <c r="C8" s="73">
        <f>C9</f>
        <v>516091</v>
      </c>
      <c r="D8" s="73">
        <f>D9</f>
        <v>392788</v>
      </c>
      <c r="E8" s="73">
        <f>E9</f>
        <v>1242560</v>
      </c>
      <c r="F8" s="73">
        <f>F9</f>
        <v>933152</v>
      </c>
      <c r="G8" s="67">
        <f>E8/C8*100</f>
        <v>240.76374127818542</v>
      </c>
      <c r="H8" s="67">
        <f>F8/D8*100</f>
        <v>237.5714125686121</v>
      </c>
      <c r="I8" s="1"/>
    </row>
    <row r="9" spans="1:8" ht="21" customHeight="1">
      <c r="A9" s="14" t="s">
        <v>12</v>
      </c>
      <c r="B9" s="33" t="s">
        <v>46</v>
      </c>
      <c r="C9" s="69">
        <f>C10+C11+C12+C18+C19+C20+C21+C22+C23+C24+C25+C26+C27+C28+C29+C30+C17+C31+C32</f>
        <v>516091</v>
      </c>
      <c r="D9" s="69">
        <f>D10+D11+D12+D18+D19+D20+D21+D22+D23+D24+D25+D26+D27+D28+D29+D30+D17+D31+D32</f>
        <v>392788</v>
      </c>
      <c r="E9" s="69">
        <f>E10+E11+E12+E18+E19+E20+E21+E22+E23+E24+E25+E26+E27+E28+E29+E30+E17+E31+E32</f>
        <v>1242560</v>
      </c>
      <c r="F9" s="69">
        <f>F10+F11+F12+F18+F19+F20+F21+F22+F23+F24+F25+F26+F27+F28+F29+F30+F17+F31+F32</f>
        <v>933152</v>
      </c>
      <c r="G9" s="67">
        <f>E9/C9*100</f>
        <v>240.76374127818542</v>
      </c>
      <c r="H9" s="67">
        <f>F9/D9*100</f>
        <v>237.5714125686121</v>
      </c>
    </row>
    <row r="10" spans="1:8" ht="21" customHeight="1">
      <c r="A10" s="17">
        <v>1</v>
      </c>
      <c r="B10" s="68" t="s">
        <v>124</v>
      </c>
      <c r="C10" s="70">
        <v>768</v>
      </c>
      <c r="D10" s="70">
        <v>0</v>
      </c>
      <c r="E10" s="70">
        <v>100</v>
      </c>
      <c r="F10" s="70">
        <v>0</v>
      </c>
      <c r="G10" s="66"/>
      <c r="H10" s="66"/>
    </row>
    <row r="11" spans="1:8" ht="21" customHeight="1">
      <c r="A11" s="6">
        <v>2</v>
      </c>
      <c r="B11" s="25" t="s">
        <v>125</v>
      </c>
      <c r="C11" s="71">
        <v>1280</v>
      </c>
      <c r="D11" s="71">
        <v>0</v>
      </c>
      <c r="E11" s="71">
        <v>2000</v>
      </c>
      <c r="F11" s="71">
        <v>0</v>
      </c>
      <c r="G11" s="24">
        <f aca="true" t="shared" si="0" ref="G11:G30">E11/C11*100</f>
        <v>156.25</v>
      </c>
      <c r="H11" s="24"/>
    </row>
    <row r="12" spans="1:8" ht="21" customHeight="1">
      <c r="A12" s="6">
        <v>3</v>
      </c>
      <c r="B12" s="5" t="s">
        <v>47</v>
      </c>
      <c r="C12" s="71">
        <f>SUM(C13:C16)</f>
        <v>206280</v>
      </c>
      <c r="D12" s="71">
        <f>SUM(D13:D16)</f>
        <v>152767</v>
      </c>
      <c r="E12" s="71">
        <f>SUM(E13:E16)</f>
        <v>210000</v>
      </c>
      <c r="F12" s="71">
        <f>SUM(F13:F16)</f>
        <v>149283</v>
      </c>
      <c r="G12" s="24">
        <f t="shared" si="0"/>
        <v>101.80337405468296</v>
      </c>
      <c r="H12" s="24">
        <f aca="true" t="shared" si="1" ref="H12:H30">F12/D12*100</f>
        <v>97.71940275059404</v>
      </c>
    </row>
    <row r="13" spans="1:8" ht="21" customHeight="1">
      <c r="A13" s="4" t="s">
        <v>8</v>
      </c>
      <c r="B13" s="5" t="s">
        <v>98</v>
      </c>
      <c r="C13" s="72">
        <v>123662</v>
      </c>
      <c r="D13" s="72">
        <v>91510</v>
      </c>
      <c r="E13" s="71">
        <v>142371</v>
      </c>
      <c r="F13" s="71">
        <v>101083</v>
      </c>
      <c r="G13" s="24">
        <f t="shared" si="0"/>
        <v>115.12914233960312</v>
      </c>
      <c r="H13" s="24">
        <f t="shared" si="1"/>
        <v>110.46115178668998</v>
      </c>
    </row>
    <row r="14" spans="1:8" ht="21" customHeight="1">
      <c r="A14" s="4" t="s">
        <v>8</v>
      </c>
      <c r="B14" s="5" t="s">
        <v>99</v>
      </c>
      <c r="C14" s="71">
        <v>82117</v>
      </c>
      <c r="D14" s="71">
        <v>60756</v>
      </c>
      <c r="E14" s="71">
        <v>66999</v>
      </c>
      <c r="F14" s="71">
        <v>47570</v>
      </c>
      <c r="G14" s="24">
        <f t="shared" si="0"/>
        <v>81.58968301326158</v>
      </c>
      <c r="H14" s="24">
        <f t="shared" si="1"/>
        <v>78.29679373230627</v>
      </c>
    </row>
    <row r="15" spans="1:8" ht="21" customHeight="1">
      <c r="A15" s="4" t="s">
        <v>8</v>
      </c>
      <c r="B15" s="5" t="s">
        <v>100</v>
      </c>
      <c r="C15" s="71">
        <v>0</v>
      </c>
      <c r="D15" s="71">
        <v>0</v>
      </c>
      <c r="E15" s="71">
        <v>0</v>
      </c>
      <c r="F15" s="71">
        <v>0</v>
      </c>
      <c r="G15" s="24"/>
      <c r="H15" s="24"/>
    </row>
    <row r="16" spans="1:8" ht="21" customHeight="1">
      <c r="A16" s="4" t="s">
        <v>8</v>
      </c>
      <c r="B16" s="5" t="s">
        <v>101</v>
      </c>
      <c r="C16" s="71">
        <v>501</v>
      </c>
      <c r="D16" s="71">
        <v>501</v>
      </c>
      <c r="E16" s="71">
        <v>630</v>
      </c>
      <c r="F16" s="71">
        <v>630</v>
      </c>
      <c r="G16" s="24">
        <f t="shared" si="0"/>
        <v>125.74850299401197</v>
      </c>
      <c r="H16" s="24">
        <f t="shared" si="1"/>
        <v>125.74850299401197</v>
      </c>
    </row>
    <row r="17" spans="1:8" ht="21" customHeight="1">
      <c r="A17" s="4">
        <v>4</v>
      </c>
      <c r="B17" s="5" t="s">
        <v>102</v>
      </c>
      <c r="C17" s="71">
        <v>0</v>
      </c>
      <c r="D17" s="71">
        <v>0</v>
      </c>
      <c r="E17" s="71">
        <v>460</v>
      </c>
      <c r="F17" s="71">
        <v>460</v>
      </c>
      <c r="G17" s="24"/>
      <c r="H17" s="24"/>
    </row>
    <row r="18" spans="1:8" ht="21" customHeight="1">
      <c r="A18" s="6">
        <v>5</v>
      </c>
      <c r="B18" s="5" t="s">
        <v>48</v>
      </c>
      <c r="C18" s="71">
        <v>60244</v>
      </c>
      <c r="D18" s="71">
        <v>21987</v>
      </c>
      <c r="E18" s="71">
        <v>43000</v>
      </c>
      <c r="F18" s="71">
        <v>12069</v>
      </c>
      <c r="G18" s="24">
        <f t="shared" si="0"/>
        <v>71.37640262930748</v>
      </c>
      <c r="H18" s="24"/>
    </row>
    <row r="19" spans="1:8" ht="21" customHeight="1">
      <c r="A19" s="4">
        <v>6</v>
      </c>
      <c r="B19" s="5" t="s">
        <v>49</v>
      </c>
      <c r="C19" s="71"/>
      <c r="D19" s="71"/>
      <c r="E19" s="71">
        <v>0</v>
      </c>
      <c r="F19" s="71">
        <v>0</v>
      </c>
      <c r="G19" s="24"/>
      <c r="H19" s="24"/>
    </row>
    <row r="20" spans="1:8" ht="21" customHeight="1">
      <c r="A20" s="6">
        <v>7</v>
      </c>
      <c r="B20" s="5" t="s">
        <v>50</v>
      </c>
      <c r="C20" s="71">
        <v>68496</v>
      </c>
      <c r="D20" s="71">
        <v>68496</v>
      </c>
      <c r="E20" s="71">
        <v>59000</v>
      </c>
      <c r="F20" s="71">
        <v>59000</v>
      </c>
      <c r="G20" s="24">
        <f t="shared" si="0"/>
        <v>86.13641672506424</v>
      </c>
      <c r="H20" s="24">
        <f t="shared" si="1"/>
        <v>86.13641672506424</v>
      </c>
    </row>
    <row r="21" spans="1:8" ht="21" customHeight="1">
      <c r="A21" s="4">
        <v>8</v>
      </c>
      <c r="B21" s="5" t="s">
        <v>51</v>
      </c>
      <c r="C21" s="71">
        <v>5404</v>
      </c>
      <c r="D21" s="71">
        <v>4022</v>
      </c>
      <c r="E21" s="71">
        <v>3400</v>
      </c>
      <c r="F21" s="71">
        <v>3400</v>
      </c>
      <c r="G21" s="24">
        <f t="shared" si="0"/>
        <v>62.91635825314582</v>
      </c>
      <c r="H21" s="24">
        <f t="shared" si="1"/>
        <v>84.53505718547986</v>
      </c>
    </row>
    <row r="22" spans="1:8" ht="21" customHeight="1">
      <c r="A22" s="6">
        <v>9</v>
      </c>
      <c r="B22" s="5" t="s">
        <v>52</v>
      </c>
      <c r="C22" s="71">
        <v>0</v>
      </c>
      <c r="D22" s="71">
        <v>0</v>
      </c>
      <c r="E22" s="71">
        <v>0</v>
      </c>
      <c r="F22" s="71">
        <v>0</v>
      </c>
      <c r="G22" s="24"/>
      <c r="H22" s="24"/>
    </row>
    <row r="23" spans="1:8" ht="21" customHeight="1">
      <c r="A23" s="4">
        <v>10</v>
      </c>
      <c r="B23" s="5" t="s">
        <v>53</v>
      </c>
      <c r="C23" s="71">
        <v>8706</v>
      </c>
      <c r="D23" s="71">
        <v>8706</v>
      </c>
      <c r="E23" s="71">
        <v>6000</v>
      </c>
      <c r="F23" s="71">
        <v>6000</v>
      </c>
      <c r="G23" s="24">
        <f t="shared" si="0"/>
        <v>68.91798759476224</v>
      </c>
      <c r="H23" s="24">
        <f t="shared" si="1"/>
        <v>68.91798759476224</v>
      </c>
    </row>
    <row r="24" spans="1:8" ht="21" customHeight="1">
      <c r="A24" s="6">
        <v>11</v>
      </c>
      <c r="B24" s="5" t="s">
        <v>54</v>
      </c>
      <c r="C24" s="71">
        <v>13085</v>
      </c>
      <c r="D24" s="71">
        <v>9631</v>
      </c>
      <c r="E24" s="71">
        <v>8000</v>
      </c>
      <c r="F24" s="71">
        <v>7000</v>
      </c>
      <c r="G24" s="24">
        <f t="shared" si="0"/>
        <v>61.13870844478411</v>
      </c>
      <c r="H24" s="24">
        <f t="shared" si="1"/>
        <v>72.68196448966879</v>
      </c>
    </row>
    <row r="25" spans="1:8" ht="21" customHeight="1">
      <c r="A25" s="4">
        <v>12</v>
      </c>
      <c r="B25" s="5" t="s">
        <v>55</v>
      </c>
      <c r="C25" s="71">
        <v>105000</v>
      </c>
      <c r="D25" s="71">
        <v>100055</v>
      </c>
      <c r="E25" s="71">
        <v>900000</v>
      </c>
      <c r="F25" s="71">
        <v>689940</v>
      </c>
      <c r="G25" s="24">
        <f>E25/C25*100</f>
        <v>857.1428571428571</v>
      </c>
      <c r="H25" s="24">
        <f>F25/D25*100</f>
        <v>689.5607415921244</v>
      </c>
    </row>
    <row r="26" spans="1:8" ht="21" customHeight="1">
      <c r="A26" s="6">
        <v>13</v>
      </c>
      <c r="B26" s="5" t="s">
        <v>56</v>
      </c>
      <c r="C26" s="71">
        <v>0</v>
      </c>
      <c r="D26" s="71">
        <v>0</v>
      </c>
      <c r="E26" s="71">
        <v>0</v>
      </c>
      <c r="F26" s="71">
        <v>0</v>
      </c>
      <c r="G26" s="24"/>
      <c r="H26" s="24"/>
    </row>
    <row r="27" spans="1:8" ht="21" customHeight="1">
      <c r="A27" s="4">
        <v>14</v>
      </c>
      <c r="B27" s="5" t="s">
        <v>57</v>
      </c>
      <c r="C27" s="71">
        <v>0</v>
      </c>
      <c r="D27" s="71">
        <v>0</v>
      </c>
      <c r="E27" s="71">
        <v>0</v>
      </c>
      <c r="F27" s="71">
        <v>0</v>
      </c>
      <c r="G27" s="24"/>
      <c r="H27" s="24"/>
    </row>
    <row r="28" spans="1:8" ht="21" customHeight="1">
      <c r="A28" s="6">
        <v>15</v>
      </c>
      <c r="B28" s="5" t="s">
        <v>58</v>
      </c>
      <c r="C28" s="71">
        <v>0</v>
      </c>
      <c r="D28" s="71">
        <v>0</v>
      </c>
      <c r="E28" s="71">
        <v>0</v>
      </c>
      <c r="F28" s="71">
        <v>0</v>
      </c>
      <c r="G28" s="24"/>
      <c r="H28" s="24"/>
    </row>
    <row r="29" spans="1:8" ht="21" customHeight="1">
      <c r="A29" s="4">
        <v>16</v>
      </c>
      <c r="B29" s="5" t="s">
        <v>59</v>
      </c>
      <c r="C29" s="71">
        <v>33573</v>
      </c>
      <c r="D29" s="71">
        <v>22592</v>
      </c>
      <c r="E29" s="71">
        <v>2000</v>
      </c>
      <c r="F29" s="71">
        <v>2000</v>
      </c>
      <c r="G29" s="24">
        <f t="shared" si="0"/>
        <v>5.957167962350699</v>
      </c>
      <c r="H29" s="24">
        <f t="shared" si="1"/>
        <v>8.85269121813031</v>
      </c>
    </row>
    <row r="30" spans="1:8" ht="21" customHeight="1">
      <c r="A30" s="6">
        <v>17</v>
      </c>
      <c r="B30" s="5" t="s">
        <v>60</v>
      </c>
      <c r="C30" s="71">
        <v>4220</v>
      </c>
      <c r="D30" s="71">
        <v>4220</v>
      </c>
      <c r="E30" s="71">
        <v>4000</v>
      </c>
      <c r="F30" s="71">
        <v>4000</v>
      </c>
      <c r="G30" s="24">
        <f t="shared" si="0"/>
        <v>94.7867298578199</v>
      </c>
      <c r="H30" s="24">
        <f t="shared" si="1"/>
        <v>94.7867298578199</v>
      </c>
    </row>
    <row r="31" spans="1:8" ht="21" customHeight="1">
      <c r="A31" s="4">
        <v>18</v>
      </c>
      <c r="B31" s="5" t="s">
        <v>176</v>
      </c>
      <c r="C31" s="71">
        <v>3369</v>
      </c>
      <c r="D31" s="71">
        <v>312</v>
      </c>
      <c r="E31" s="71">
        <v>1400</v>
      </c>
      <c r="F31" s="71"/>
      <c r="G31" s="24"/>
      <c r="H31" s="24"/>
    </row>
    <row r="32" spans="1:8" ht="21" customHeight="1">
      <c r="A32" s="57">
        <v>19</v>
      </c>
      <c r="B32" s="7" t="s">
        <v>177</v>
      </c>
      <c r="C32" s="119">
        <v>5666</v>
      </c>
      <c r="D32" s="119"/>
      <c r="E32" s="119">
        <v>3200</v>
      </c>
      <c r="F32" s="119"/>
      <c r="G32" s="120"/>
      <c r="H32" s="120"/>
    </row>
  </sheetData>
  <sheetProtection/>
  <mergeCells count="9">
    <mergeCell ref="F1:H1"/>
    <mergeCell ref="G5:H5"/>
    <mergeCell ref="F4:H4"/>
    <mergeCell ref="A2:H2"/>
    <mergeCell ref="A3:H3"/>
    <mergeCell ref="A5:A6"/>
    <mergeCell ref="B5:B6"/>
    <mergeCell ref="C5:D5"/>
    <mergeCell ref="E5:F5"/>
  </mergeCells>
  <printOptions/>
  <pageMargins left="0.56" right="0.43" top="0.26" bottom="0.26" header="0.2"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F34"/>
  <sheetViews>
    <sheetView zoomScalePageLayoutView="0" workbookViewId="0" topLeftCell="A4">
      <pane xSplit="2" ySplit="4" topLeftCell="C47" activePane="bottomRight" state="frozen"/>
      <selection pane="topLeft" activeCell="A4" sqref="A4"/>
      <selection pane="topRight" activeCell="C4" sqref="C4"/>
      <selection pane="bottomLeft" activeCell="A8" sqref="A8"/>
      <selection pane="bottomRight" activeCell="A9" sqref="A9:IV9"/>
    </sheetView>
  </sheetViews>
  <sheetFormatPr defaultColWidth="9.00390625" defaultRowHeight="15.75"/>
  <cols>
    <col min="1" max="1" width="6.25390625" style="0" customWidth="1"/>
    <col min="2" max="2" width="43.875" style="0" customWidth="1"/>
    <col min="3" max="3" width="15.00390625" style="0" customWidth="1"/>
    <col min="4" max="4" width="14.50390625" style="0" customWidth="1"/>
    <col min="5" max="5" width="11.375" style="0" customWidth="1"/>
  </cols>
  <sheetData>
    <row r="1" spans="1:6" ht="23.25" customHeight="1">
      <c r="A1" s="1" t="s">
        <v>118</v>
      </c>
      <c r="D1" s="224" t="s">
        <v>69</v>
      </c>
      <c r="E1" s="224"/>
      <c r="F1" s="16"/>
    </row>
    <row r="2" spans="1:6" ht="18.75">
      <c r="A2" s="226" t="s">
        <v>63</v>
      </c>
      <c r="B2" s="226"/>
      <c r="C2" s="226"/>
      <c r="D2" s="226"/>
      <c r="E2" s="226"/>
      <c r="F2" s="18"/>
    </row>
    <row r="3" spans="1:6" ht="18.75">
      <c r="A3" s="226" t="s">
        <v>240</v>
      </c>
      <c r="B3" s="226"/>
      <c r="C3" s="226"/>
      <c r="D3" s="226"/>
      <c r="E3" s="226"/>
      <c r="F3" s="18"/>
    </row>
    <row r="4" spans="1:6" ht="19.5">
      <c r="A4" s="227" t="s">
        <v>0</v>
      </c>
      <c r="B4" s="227"/>
      <c r="C4" s="227"/>
      <c r="D4" s="227"/>
      <c r="E4" s="227"/>
      <c r="F4" s="19"/>
    </row>
    <row r="5" spans="4:6" ht="15.75">
      <c r="D5" s="231" t="s">
        <v>4</v>
      </c>
      <c r="E5" s="231"/>
      <c r="F5" s="231"/>
    </row>
    <row r="6" spans="1:6" ht="31.5" customHeight="1">
      <c r="A6" s="230" t="s">
        <v>1</v>
      </c>
      <c r="B6" s="230" t="s">
        <v>2</v>
      </c>
      <c r="C6" s="230" t="s">
        <v>64</v>
      </c>
      <c r="D6" s="230" t="s">
        <v>65</v>
      </c>
      <c r="E6" s="230"/>
      <c r="F6" s="2"/>
    </row>
    <row r="7" spans="1:6" ht="31.5">
      <c r="A7" s="230"/>
      <c r="B7" s="230"/>
      <c r="C7" s="230"/>
      <c r="D7" s="8" t="s">
        <v>66</v>
      </c>
      <c r="E7" s="8" t="s">
        <v>67</v>
      </c>
      <c r="F7" s="2"/>
    </row>
    <row r="8" spans="1:5" ht="15.75">
      <c r="A8" s="14" t="s">
        <v>5</v>
      </c>
      <c r="B8" s="14" t="s">
        <v>21</v>
      </c>
      <c r="C8" s="14" t="s">
        <v>68</v>
      </c>
      <c r="D8" s="14">
        <v>2</v>
      </c>
      <c r="E8" s="14">
        <v>3</v>
      </c>
    </row>
    <row r="9" spans="1:5" s="1" customFormat="1" ht="24" customHeight="1">
      <c r="A9" s="14"/>
      <c r="B9" s="33" t="s">
        <v>22</v>
      </c>
      <c r="C9" s="73">
        <f>C10+C22</f>
        <v>1463886</v>
      </c>
      <c r="D9" s="73">
        <f>D10+D22</f>
        <v>873854</v>
      </c>
      <c r="E9" s="73">
        <f>E10+E22</f>
        <v>590032</v>
      </c>
    </row>
    <row r="10" spans="1:5" s="1" customFormat="1" ht="24" customHeight="1">
      <c r="A10" s="14" t="s">
        <v>5</v>
      </c>
      <c r="B10" s="33" t="s">
        <v>70</v>
      </c>
      <c r="C10" s="73">
        <f>C11+C16+C20+C21</f>
        <v>1405837</v>
      </c>
      <c r="D10" s="73">
        <f>D11+D16+D20+D21</f>
        <v>840337</v>
      </c>
      <c r="E10" s="73">
        <f>E11+E16+E20+E21</f>
        <v>565500</v>
      </c>
    </row>
    <row r="11" spans="1:5" s="1" customFormat="1" ht="24" customHeight="1">
      <c r="A11" s="14" t="s">
        <v>12</v>
      </c>
      <c r="B11" s="33" t="s">
        <v>24</v>
      </c>
      <c r="C11" s="73">
        <f>SUM(C12:C15)</f>
        <v>730776</v>
      </c>
      <c r="D11" s="73">
        <f>SUM(D12:D15)</f>
        <v>294871</v>
      </c>
      <c r="E11" s="73">
        <f>SUM(E12:E15)</f>
        <v>435905</v>
      </c>
    </row>
    <row r="12" spans="1:5" ht="24" customHeight="1">
      <c r="A12" s="23">
        <v>1</v>
      </c>
      <c r="B12" s="121" t="s">
        <v>126</v>
      </c>
      <c r="C12" s="73">
        <f aca="true" t="shared" si="0" ref="C12:C21">D12+E12</f>
        <v>28600</v>
      </c>
      <c r="D12" s="122">
        <v>28600</v>
      </c>
      <c r="E12" s="122">
        <v>0</v>
      </c>
    </row>
    <row r="13" spans="1:5" ht="24" customHeight="1">
      <c r="A13" s="123">
        <v>2</v>
      </c>
      <c r="B13" s="124" t="s">
        <v>73</v>
      </c>
      <c r="C13" s="73">
        <f t="shared" si="0"/>
        <v>689940</v>
      </c>
      <c r="D13" s="122">
        <v>254035</v>
      </c>
      <c r="E13" s="122">
        <v>435905</v>
      </c>
    </row>
    <row r="14" spans="1:5" ht="24" customHeight="1">
      <c r="A14" s="23">
        <v>3</v>
      </c>
      <c r="B14" s="124" t="s">
        <v>241</v>
      </c>
      <c r="C14" s="73">
        <f t="shared" si="0"/>
        <v>12106</v>
      </c>
      <c r="D14" s="122">
        <v>12106</v>
      </c>
      <c r="E14" s="122"/>
    </row>
    <row r="15" spans="1:5" ht="24" customHeight="1">
      <c r="A15" s="123">
        <v>4</v>
      </c>
      <c r="B15" s="124" t="s">
        <v>242</v>
      </c>
      <c r="C15" s="73">
        <f t="shared" si="0"/>
        <v>130</v>
      </c>
      <c r="D15" s="122">
        <v>130</v>
      </c>
      <c r="E15" s="122"/>
    </row>
    <row r="16" spans="1:5" s="1" customFormat="1" ht="24" customHeight="1">
      <c r="A16" s="14" t="s">
        <v>11</v>
      </c>
      <c r="B16" s="33" t="s">
        <v>25</v>
      </c>
      <c r="C16" s="73">
        <f t="shared" si="0"/>
        <v>643460</v>
      </c>
      <c r="D16" s="73">
        <f>530051-9458</f>
        <v>520593</v>
      </c>
      <c r="E16" s="73">
        <f>127055-4188</f>
        <v>122867</v>
      </c>
    </row>
    <row r="17" spans="1:5" ht="24" customHeight="1">
      <c r="A17" s="23"/>
      <c r="B17" s="124" t="s">
        <v>74</v>
      </c>
      <c r="C17" s="73">
        <f t="shared" si="0"/>
        <v>0</v>
      </c>
      <c r="D17" s="122"/>
      <c r="E17" s="122"/>
    </row>
    <row r="18" spans="1:5" ht="24" customHeight="1">
      <c r="A18" s="23">
        <v>1</v>
      </c>
      <c r="B18" s="124" t="s">
        <v>71</v>
      </c>
      <c r="C18" s="73">
        <f t="shared" si="0"/>
        <v>330422</v>
      </c>
      <c r="D18" s="122">
        <v>329342</v>
      </c>
      <c r="E18" s="122">
        <v>1080</v>
      </c>
    </row>
    <row r="19" spans="1:5" ht="24" customHeight="1">
      <c r="A19" s="23">
        <v>2</v>
      </c>
      <c r="B19" s="124" t="s">
        <v>72</v>
      </c>
      <c r="C19" s="73">
        <f t="shared" si="0"/>
        <v>0</v>
      </c>
      <c r="D19" s="122">
        <v>0</v>
      </c>
      <c r="E19" s="122">
        <v>0</v>
      </c>
    </row>
    <row r="20" spans="1:5" s="1" customFormat="1" ht="24" customHeight="1">
      <c r="A20" s="14" t="s">
        <v>17</v>
      </c>
      <c r="B20" s="33" t="s">
        <v>26</v>
      </c>
      <c r="C20" s="73">
        <f t="shared" si="0"/>
        <v>17955</v>
      </c>
      <c r="D20" s="73">
        <v>15415</v>
      </c>
      <c r="E20" s="73">
        <v>2540</v>
      </c>
    </row>
    <row r="21" spans="1:5" s="1" customFormat="1" ht="24" customHeight="1">
      <c r="A21" s="14" t="s">
        <v>19</v>
      </c>
      <c r="B21" s="33" t="s">
        <v>178</v>
      </c>
      <c r="C21" s="73">
        <f t="shared" si="0"/>
        <v>13646</v>
      </c>
      <c r="D21" s="73">
        <v>9458</v>
      </c>
      <c r="E21" s="73">
        <v>4188</v>
      </c>
    </row>
    <row r="22" spans="1:5" s="1" customFormat="1" ht="24" customHeight="1">
      <c r="A22" s="14" t="s">
        <v>21</v>
      </c>
      <c r="B22" s="33" t="s">
        <v>75</v>
      </c>
      <c r="C22" s="73">
        <f>C23+C26</f>
        <v>58049</v>
      </c>
      <c r="D22" s="73">
        <f>D23+D26</f>
        <v>33517</v>
      </c>
      <c r="E22" s="73">
        <f>E23+E26</f>
        <v>24532</v>
      </c>
    </row>
    <row r="23" spans="1:5" s="1" customFormat="1" ht="24" customHeight="1">
      <c r="A23" s="14" t="s">
        <v>12</v>
      </c>
      <c r="B23" s="33" t="s">
        <v>28</v>
      </c>
      <c r="C23" s="73">
        <f>C24+C25</f>
        <v>36560</v>
      </c>
      <c r="D23" s="73">
        <f>D24+D25</f>
        <v>21560</v>
      </c>
      <c r="E23" s="73">
        <f>E24+E25</f>
        <v>15000</v>
      </c>
    </row>
    <row r="24" spans="1:5" s="1" customFormat="1" ht="24" customHeight="1">
      <c r="A24" s="113">
        <v>1</v>
      </c>
      <c r="B24" s="121" t="s">
        <v>130</v>
      </c>
      <c r="C24" s="126">
        <f>SUM(D24:E24)</f>
        <v>15000</v>
      </c>
      <c r="D24" s="127"/>
      <c r="E24" s="127">
        <v>15000</v>
      </c>
    </row>
    <row r="25" spans="1:5" s="1" customFormat="1" ht="24" customHeight="1">
      <c r="A25" s="113">
        <v>2</v>
      </c>
      <c r="B25" s="121" t="s">
        <v>247</v>
      </c>
      <c r="C25" s="126">
        <f>SUM(D25:E25)</f>
        <v>21560</v>
      </c>
      <c r="D25" s="127">
        <v>21560</v>
      </c>
      <c r="E25" s="127"/>
    </row>
    <row r="26" spans="1:5" s="1" customFormat="1" ht="24" customHeight="1">
      <c r="A26" s="14" t="s">
        <v>11</v>
      </c>
      <c r="B26" s="33" t="s">
        <v>29</v>
      </c>
      <c r="C26" s="34">
        <f>SUM(C27:C33)</f>
        <v>21489</v>
      </c>
      <c r="D26" s="34">
        <f>SUM(D27:D33)</f>
        <v>11957</v>
      </c>
      <c r="E26" s="34">
        <f>SUM(E27:E33)</f>
        <v>9532</v>
      </c>
    </row>
    <row r="27" spans="1:5" s="26" customFormat="1" ht="78.75" customHeight="1">
      <c r="A27" s="113">
        <v>1</v>
      </c>
      <c r="B27" s="125" t="s">
        <v>243</v>
      </c>
      <c r="C27" s="126">
        <f aca="true" t="shared" si="1" ref="C27:C33">SUM(D27:E27)</f>
        <v>8606</v>
      </c>
      <c r="D27" s="127">
        <v>8606</v>
      </c>
      <c r="E27" s="127"/>
    </row>
    <row r="28" spans="1:5" s="26" customFormat="1" ht="33">
      <c r="A28" s="113">
        <v>2</v>
      </c>
      <c r="B28" s="125" t="s">
        <v>179</v>
      </c>
      <c r="C28" s="126">
        <f t="shared" si="1"/>
        <v>340</v>
      </c>
      <c r="D28" s="127">
        <v>340</v>
      </c>
      <c r="E28" s="127">
        <v>0</v>
      </c>
    </row>
    <row r="29" spans="1:5" s="26" customFormat="1" ht="33">
      <c r="A29" s="113">
        <v>3</v>
      </c>
      <c r="B29" s="125" t="s">
        <v>244</v>
      </c>
      <c r="C29" s="126">
        <f t="shared" si="1"/>
        <v>537</v>
      </c>
      <c r="D29" s="127">
        <v>537</v>
      </c>
      <c r="E29" s="127"/>
    </row>
    <row r="30" spans="1:5" s="26" customFormat="1" ht="33">
      <c r="A30" s="113">
        <v>4</v>
      </c>
      <c r="B30" s="125" t="s">
        <v>245</v>
      </c>
      <c r="C30" s="126">
        <f t="shared" si="1"/>
        <v>1974</v>
      </c>
      <c r="D30" s="127">
        <v>1974</v>
      </c>
      <c r="E30" s="127"/>
    </row>
    <row r="31" spans="1:5" s="26" customFormat="1" ht="24" customHeight="1">
      <c r="A31" s="113">
        <v>5</v>
      </c>
      <c r="B31" s="125" t="s">
        <v>246</v>
      </c>
      <c r="C31" s="126">
        <f t="shared" si="1"/>
        <v>500</v>
      </c>
      <c r="D31" s="127">
        <v>500</v>
      </c>
      <c r="E31" s="127"/>
    </row>
    <row r="32" spans="1:5" s="26" customFormat="1" ht="81" customHeight="1">
      <c r="A32" s="113">
        <v>6</v>
      </c>
      <c r="B32" s="125" t="s">
        <v>248</v>
      </c>
      <c r="C32" s="126">
        <f t="shared" si="1"/>
        <v>8506</v>
      </c>
      <c r="D32" s="127"/>
      <c r="E32" s="127">
        <v>8506</v>
      </c>
    </row>
    <row r="33" spans="1:5" s="26" customFormat="1" ht="79.5" customHeight="1">
      <c r="A33" s="113">
        <v>7</v>
      </c>
      <c r="B33" s="125" t="s">
        <v>249</v>
      </c>
      <c r="C33" s="126">
        <f t="shared" si="1"/>
        <v>1026</v>
      </c>
      <c r="D33" s="127"/>
      <c r="E33" s="127">
        <v>1026</v>
      </c>
    </row>
    <row r="34" spans="1:5" s="1" customFormat="1" ht="24" customHeight="1">
      <c r="A34" s="14" t="s">
        <v>76</v>
      </c>
      <c r="B34" s="33" t="s">
        <v>77</v>
      </c>
      <c r="C34" s="73">
        <f>D34+E34</f>
        <v>0</v>
      </c>
      <c r="D34" s="73">
        <v>0</v>
      </c>
      <c r="E34" s="73">
        <v>0</v>
      </c>
    </row>
  </sheetData>
  <sheetProtection/>
  <mergeCells count="9">
    <mergeCell ref="D5:F5"/>
    <mergeCell ref="D1:E1"/>
    <mergeCell ref="A2:E2"/>
    <mergeCell ref="A3:E3"/>
    <mergeCell ref="A4:E4"/>
    <mergeCell ref="A6:A7"/>
    <mergeCell ref="B6:B7"/>
    <mergeCell ref="C6:C7"/>
    <mergeCell ref="D6:E6"/>
  </mergeCells>
  <printOptions/>
  <pageMargins left="0.33" right="0.2" top="0.45" bottom="0.44" header="0.2"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E35"/>
  <sheetViews>
    <sheetView zoomScalePageLayoutView="0" workbookViewId="0" topLeftCell="A45">
      <selection activeCell="C1" sqref="C1"/>
    </sheetView>
  </sheetViews>
  <sheetFormatPr defaultColWidth="9.00390625" defaultRowHeight="15.75"/>
  <cols>
    <col min="1" max="1" width="6.25390625" style="0" customWidth="1"/>
    <col min="2" max="2" width="62.25390625" style="0" customWidth="1"/>
    <col min="3" max="3" width="19.50390625" style="0" customWidth="1"/>
  </cols>
  <sheetData>
    <row r="1" spans="1:4" ht="23.25" customHeight="1">
      <c r="A1" s="1" t="s">
        <v>118</v>
      </c>
      <c r="C1" s="1" t="s">
        <v>78</v>
      </c>
      <c r="D1" s="16"/>
    </row>
    <row r="2" spans="1:4" ht="18.75">
      <c r="A2" s="226" t="s">
        <v>232</v>
      </c>
      <c r="B2" s="226"/>
      <c r="C2" s="226"/>
      <c r="D2" s="18"/>
    </row>
    <row r="3" spans="1:4" ht="19.5">
      <c r="A3" s="227" t="s">
        <v>0</v>
      </c>
      <c r="B3" s="227"/>
      <c r="C3" s="227"/>
      <c r="D3" s="19"/>
    </row>
    <row r="4" spans="3:4" ht="15.75">
      <c r="C4" s="27" t="s">
        <v>4</v>
      </c>
      <c r="D4" s="20"/>
    </row>
    <row r="5" spans="1:4" ht="16.5" customHeight="1">
      <c r="A5" s="230" t="s">
        <v>1</v>
      </c>
      <c r="B5" s="230" t="s">
        <v>2</v>
      </c>
      <c r="C5" s="230" t="s">
        <v>115</v>
      </c>
      <c r="D5" s="2"/>
    </row>
    <row r="6" spans="1:4" ht="2.25" customHeight="1">
      <c r="A6" s="230"/>
      <c r="B6" s="230"/>
      <c r="C6" s="230"/>
      <c r="D6" s="2"/>
    </row>
    <row r="7" spans="1:3" s="1" customFormat="1" ht="24" customHeight="1">
      <c r="A7" s="33"/>
      <c r="B7" s="33" t="s">
        <v>22</v>
      </c>
      <c r="C7" s="29">
        <f>C8+C9</f>
        <v>921629.0952</v>
      </c>
    </row>
    <row r="8" spans="1:3" s="1" customFormat="1" ht="24" customHeight="1">
      <c r="A8" s="14" t="s">
        <v>5</v>
      </c>
      <c r="B8" s="33" t="s">
        <v>103</v>
      </c>
      <c r="C8" s="29">
        <v>47775</v>
      </c>
    </row>
    <row r="9" spans="1:5" s="1" customFormat="1" ht="24" customHeight="1">
      <c r="A9" s="14" t="s">
        <v>21</v>
      </c>
      <c r="B9" s="33" t="s">
        <v>104</v>
      </c>
      <c r="C9" s="29">
        <f>C11+C16+C31+C32</f>
        <v>873854.0952</v>
      </c>
      <c r="E9" s="80"/>
    </row>
    <row r="10" spans="1:3" ht="19.5" customHeight="1">
      <c r="A10" s="74"/>
      <c r="B10" s="54" t="s">
        <v>74</v>
      </c>
      <c r="C10" s="75"/>
    </row>
    <row r="11" spans="1:3" s="1" customFormat="1" ht="19.5" customHeight="1">
      <c r="A11" s="14" t="s">
        <v>12</v>
      </c>
      <c r="B11" s="33" t="s">
        <v>24</v>
      </c>
      <c r="C11" s="29">
        <f>SUM(C12:C15)</f>
        <v>294870.9952</v>
      </c>
    </row>
    <row r="12" spans="1:3" ht="19.5" customHeight="1">
      <c r="A12" s="123">
        <v>1</v>
      </c>
      <c r="B12" s="121" t="s">
        <v>126</v>
      </c>
      <c r="C12" s="128">
        <v>28600</v>
      </c>
    </row>
    <row r="13" spans="1:3" s="26" customFormat="1" ht="19.5" customHeight="1">
      <c r="A13" s="113">
        <v>2</v>
      </c>
      <c r="B13" s="121" t="s">
        <v>127</v>
      </c>
      <c r="C13" s="129">
        <v>254034.8952</v>
      </c>
    </row>
    <row r="14" spans="1:3" s="26" customFormat="1" ht="19.5" customHeight="1">
      <c r="A14" s="123">
        <v>3</v>
      </c>
      <c r="B14" s="121" t="s">
        <v>242</v>
      </c>
      <c r="C14" s="129">
        <v>130</v>
      </c>
    </row>
    <row r="15" spans="1:3" s="26" customFormat="1" ht="19.5" customHeight="1">
      <c r="A15" s="113">
        <v>4</v>
      </c>
      <c r="B15" s="121" t="s">
        <v>250</v>
      </c>
      <c r="C15" s="129">
        <v>12106.1</v>
      </c>
    </row>
    <row r="16" spans="1:3" s="1" customFormat="1" ht="24" customHeight="1">
      <c r="A16" s="14" t="s">
        <v>11</v>
      </c>
      <c r="B16" s="33" t="s">
        <v>25</v>
      </c>
      <c r="C16" s="29">
        <f>SUM(C17:C30)</f>
        <v>554110.1</v>
      </c>
    </row>
    <row r="17" spans="1:3" s="26" customFormat="1" ht="24" customHeight="1">
      <c r="A17" s="113"/>
      <c r="B17" s="121" t="s">
        <v>74</v>
      </c>
      <c r="C17" s="126"/>
    </row>
    <row r="18" spans="1:3" s="26" customFormat="1" ht="24" customHeight="1">
      <c r="A18" s="113">
        <v>1</v>
      </c>
      <c r="B18" s="121" t="s">
        <v>149</v>
      </c>
      <c r="C18" s="126">
        <v>3790</v>
      </c>
    </row>
    <row r="19" spans="1:3" s="26" customFormat="1" ht="24" customHeight="1">
      <c r="A19" s="113">
        <v>2</v>
      </c>
      <c r="B19" s="121" t="s">
        <v>150</v>
      </c>
      <c r="C19" s="126">
        <v>706.8</v>
      </c>
    </row>
    <row r="20" spans="1:3" s="26" customFormat="1" ht="24" customHeight="1">
      <c r="A20" s="113">
        <v>3</v>
      </c>
      <c r="B20" s="121" t="s">
        <v>105</v>
      </c>
      <c r="C20" s="126">
        <v>333056</v>
      </c>
    </row>
    <row r="21" spans="1:3" s="26" customFormat="1" ht="24" customHeight="1">
      <c r="A21" s="113">
        <v>4</v>
      </c>
      <c r="B21" s="124" t="s">
        <v>106</v>
      </c>
      <c r="C21" s="126">
        <v>0</v>
      </c>
    </row>
    <row r="22" spans="1:3" s="26" customFormat="1" ht="24" customHeight="1">
      <c r="A22" s="113">
        <v>5</v>
      </c>
      <c r="B22" s="124" t="s">
        <v>107</v>
      </c>
      <c r="C22" s="126">
        <v>15433</v>
      </c>
    </row>
    <row r="23" spans="1:3" s="26" customFormat="1" ht="24" customHeight="1">
      <c r="A23" s="113">
        <v>6</v>
      </c>
      <c r="B23" s="121" t="s">
        <v>108</v>
      </c>
      <c r="C23" s="126">
        <v>1828</v>
      </c>
    </row>
    <row r="24" spans="1:3" s="26" customFormat="1" ht="24" customHeight="1">
      <c r="A24" s="113">
        <v>7</v>
      </c>
      <c r="B24" s="121" t="s">
        <v>109</v>
      </c>
      <c r="C24" s="126">
        <v>1647</v>
      </c>
    </row>
    <row r="25" spans="1:3" s="26" customFormat="1" ht="24" customHeight="1">
      <c r="A25" s="113">
        <v>8</v>
      </c>
      <c r="B25" s="121" t="s">
        <v>110</v>
      </c>
      <c r="C25" s="126">
        <v>547</v>
      </c>
    </row>
    <row r="26" spans="1:3" s="26" customFormat="1" ht="24" customHeight="1">
      <c r="A26" s="113">
        <v>9</v>
      </c>
      <c r="B26" s="121" t="s">
        <v>111</v>
      </c>
      <c r="C26" s="126">
        <v>37064.3</v>
      </c>
    </row>
    <row r="27" spans="1:3" s="26" customFormat="1" ht="24" customHeight="1">
      <c r="A27" s="113">
        <v>10</v>
      </c>
      <c r="B27" s="121" t="s">
        <v>112</v>
      </c>
      <c r="C27" s="126">
        <v>43788</v>
      </c>
    </row>
    <row r="28" spans="1:3" s="1" customFormat="1" ht="24" customHeight="1">
      <c r="A28" s="113">
        <v>11</v>
      </c>
      <c r="B28" s="121" t="s">
        <v>113</v>
      </c>
      <c r="C28" s="126">
        <v>31174</v>
      </c>
    </row>
    <row r="29" spans="1:3" s="1" customFormat="1" ht="24" customHeight="1">
      <c r="A29" s="113">
        <v>12</v>
      </c>
      <c r="B29" s="121" t="s">
        <v>114</v>
      </c>
      <c r="C29" s="126">
        <v>77956</v>
      </c>
    </row>
    <row r="30" spans="1:3" s="1" customFormat="1" ht="24" customHeight="1">
      <c r="A30" s="113">
        <v>13</v>
      </c>
      <c r="B30" s="121" t="s">
        <v>128</v>
      </c>
      <c r="C30" s="126">
        <v>7120</v>
      </c>
    </row>
    <row r="31" spans="1:3" s="1" customFormat="1" ht="24" customHeight="1">
      <c r="A31" s="14" t="s">
        <v>17</v>
      </c>
      <c r="B31" s="33" t="s">
        <v>26</v>
      </c>
      <c r="C31" s="73">
        <v>15415</v>
      </c>
    </row>
    <row r="32" spans="1:3" s="1" customFormat="1" ht="24" customHeight="1">
      <c r="A32" s="14" t="s">
        <v>19</v>
      </c>
      <c r="B32" s="33" t="s">
        <v>180</v>
      </c>
      <c r="C32" s="73">
        <v>9458</v>
      </c>
    </row>
    <row r="33" spans="1:3" s="1" customFormat="1" ht="18.75" customHeight="1">
      <c r="A33" s="14" t="s">
        <v>76</v>
      </c>
      <c r="B33" s="33" t="s">
        <v>77</v>
      </c>
      <c r="C33" s="73"/>
    </row>
    <row r="34" spans="1:3" s="1" customFormat="1" ht="24" customHeight="1" hidden="1">
      <c r="A34" s="15"/>
      <c r="B34" s="15"/>
      <c r="C34" s="15"/>
    </row>
    <row r="35" ht="15.75" hidden="1">
      <c r="B35" s="76" t="s">
        <v>129</v>
      </c>
    </row>
  </sheetData>
  <sheetProtection/>
  <mergeCells count="5">
    <mergeCell ref="A5:A6"/>
    <mergeCell ref="B5:B6"/>
    <mergeCell ref="C5:C6"/>
    <mergeCell ref="A2:C2"/>
    <mergeCell ref="A3:C3"/>
  </mergeCells>
  <printOptions/>
  <pageMargins left="0.33" right="0.2" top="0.45" bottom="0.35" header="0.2" footer="0.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N103"/>
  <sheetViews>
    <sheetView zoomScalePageLayoutView="0" workbookViewId="0" topLeftCell="A28">
      <selection activeCell="A28" sqref="A1:IV16384"/>
    </sheetView>
  </sheetViews>
  <sheetFormatPr defaultColWidth="9.00390625" defaultRowHeight="15.75"/>
  <cols>
    <col min="1" max="1" width="9.00390625" style="26" customWidth="1"/>
    <col min="2" max="2" width="25.375" style="26" customWidth="1"/>
    <col min="3" max="3" width="12.75390625" style="26" customWidth="1"/>
    <col min="4" max="4" width="8.00390625" style="26" hidden="1" customWidth="1"/>
    <col min="5" max="5" width="13.125" style="26" customWidth="1"/>
    <col min="6" max="7" width="9.25390625" style="26" customWidth="1"/>
    <col min="8" max="9" width="9.00390625" style="26" customWidth="1"/>
    <col min="10" max="10" width="8.375" style="26" bestFit="1" customWidth="1"/>
    <col min="11" max="11" width="10.375" style="26" customWidth="1"/>
    <col min="12" max="16384" width="9.00390625" style="26" customWidth="1"/>
  </cols>
  <sheetData>
    <row r="1" spans="1:12" ht="21.75" customHeight="1">
      <c r="A1" s="232" t="s">
        <v>284</v>
      </c>
      <c r="B1" s="232"/>
      <c r="C1" s="195"/>
      <c r="D1" s="195"/>
      <c r="E1" s="195"/>
      <c r="F1" s="195"/>
      <c r="G1" s="195"/>
      <c r="H1" s="195"/>
      <c r="I1" s="233" t="s">
        <v>93</v>
      </c>
      <c r="J1" s="233"/>
      <c r="K1" s="233"/>
      <c r="L1" s="233"/>
    </row>
    <row r="2" spans="1:12" ht="15.75">
      <c r="A2" s="196"/>
      <c r="I2" s="234"/>
      <c r="J2" s="234"/>
      <c r="K2" s="234"/>
      <c r="L2" s="234"/>
    </row>
    <row r="3" spans="1:12" ht="15.75">
      <c r="A3" s="235" t="s">
        <v>251</v>
      </c>
      <c r="B3" s="235"/>
      <c r="C3" s="235"/>
      <c r="D3" s="235"/>
      <c r="E3" s="235"/>
      <c r="F3" s="235"/>
      <c r="G3" s="235"/>
      <c r="H3" s="235"/>
      <c r="I3" s="235"/>
      <c r="J3" s="235"/>
      <c r="K3" s="235"/>
      <c r="L3" s="235"/>
    </row>
    <row r="4" spans="1:12" ht="15.75">
      <c r="A4" s="235" t="s">
        <v>252</v>
      </c>
      <c r="B4" s="235"/>
      <c r="C4" s="235"/>
      <c r="D4" s="235"/>
      <c r="E4" s="235"/>
      <c r="F4" s="235"/>
      <c r="G4" s="235"/>
      <c r="H4" s="235"/>
      <c r="I4" s="235"/>
      <c r="J4" s="235"/>
      <c r="K4" s="235"/>
      <c r="L4" s="235"/>
    </row>
    <row r="5" ht="15.75">
      <c r="K5" s="197" t="s">
        <v>170</v>
      </c>
    </row>
    <row r="6" spans="1:12" ht="29.25" customHeight="1">
      <c r="A6" s="230" t="s">
        <v>1</v>
      </c>
      <c r="B6" s="230" t="s">
        <v>95</v>
      </c>
      <c r="C6" s="236" t="s">
        <v>97</v>
      </c>
      <c r="D6" s="236" t="s">
        <v>24</v>
      </c>
      <c r="E6" s="236" t="s">
        <v>25</v>
      </c>
      <c r="F6" s="237" t="s">
        <v>253</v>
      </c>
      <c r="G6" s="237" t="s">
        <v>178</v>
      </c>
      <c r="H6" s="230" t="s">
        <v>254</v>
      </c>
      <c r="I6" s="230" t="s">
        <v>255</v>
      </c>
      <c r="J6" s="230"/>
      <c r="K6" s="230"/>
      <c r="L6" s="230" t="s">
        <v>256</v>
      </c>
    </row>
    <row r="7" spans="1:12" ht="93.75" customHeight="1">
      <c r="A7" s="230"/>
      <c r="B7" s="230"/>
      <c r="C7" s="236"/>
      <c r="D7" s="236"/>
      <c r="E7" s="236"/>
      <c r="F7" s="238"/>
      <c r="G7" s="238"/>
      <c r="H7" s="230"/>
      <c r="I7" s="8" t="s">
        <v>97</v>
      </c>
      <c r="J7" s="8" t="s">
        <v>24</v>
      </c>
      <c r="K7" s="8" t="s">
        <v>25</v>
      </c>
      <c r="L7" s="230"/>
    </row>
    <row r="8" spans="1:12" ht="15.75" hidden="1">
      <c r="A8" s="8" t="s">
        <v>5</v>
      </c>
      <c r="B8" s="8" t="s">
        <v>21</v>
      </c>
      <c r="C8" s="198">
        <v>1</v>
      </c>
      <c r="D8" s="198">
        <v>2</v>
      </c>
      <c r="E8" s="198">
        <v>3</v>
      </c>
      <c r="F8" s="198"/>
      <c r="G8" s="198"/>
      <c r="H8" s="8">
        <v>5</v>
      </c>
      <c r="I8" s="8">
        <v>6</v>
      </c>
      <c r="J8" s="8">
        <v>7</v>
      </c>
      <c r="K8" s="8">
        <v>8</v>
      </c>
      <c r="L8" s="8">
        <v>9</v>
      </c>
    </row>
    <row r="9" spans="1:14" s="202" customFormat="1" ht="19.5" customHeight="1">
      <c r="A9" s="8"/>
      <c r="B9" s="199" t="s">
        <v>80</v>
      </c>
      <c r="C9" s="200">
        <f>C10+C59+C63</f>
        <v>563567.0920000001</v>
      </c>
      <c r="D9" s="200">
        <f aca="true" t="shared" si="0" ref="D9:L9">D10+D59+D63</f>
        <v>0</v>
      </c>
      <c r="E9" s="200">
        <f t="shared" si="0"/>
        <v>520591.792</v>
      </c>
      <c r="F9" s="200">
        <f t="shared" si="0"/>
        <v>0</v>
      </c>
      <c r="G9" s="200">
        <f t="shared" si="0"/>
        <v>9458.300000000001</v>
      </c>
      <c r="H9" s="200">
        <f t="shared" si="0"/>
        <v>0</v>
      </c>
      <c r="I9" s="200">
        <f t="shared" si="0"/>
        <v>0</v>
      </c>
      <c r="J9" s="200">
        <f t="shared" si="0"/>
        <v>0</v>
      </c>
      <c r="K9" s="200">
        <f t="shared" si="0"/>
        <v>33517</v>
      </c>
      <c r="L9" s="200">
        <f t="shared" si="0"/>
        <v>0</v>
      </c>
      <c r="M9" s="201"/>
      <c r="N9" s="201"/>
    </row>
    <row r="10" spans="1:12" s="202" customFormat="1" ht="19.5" customHeight="1">
      <c r="A10" s="78" t="s">
        <v>12</v>
      </c>
      <c r="B10" s="79" t="s">
        <v>257</v>
      </c>
      <c r="C10" s="200">
        <f>C11+C25+C33+C38+C50+C54+C55+C56+C57+C58</f>
        <v>512116.792</v>
      </c>
      <c r="D10" s="200">
        <f aca="true" t="shared" si="1" ref="D10:K10">D11+D25+D33+D38+D50+D54+D55+D56+D57+D58</f>
        <v>0</v>
      </c>
      <c r="E10" s="200">
        <f t="shared" si="1"/>
        <v>500925.792</v>
      </c>
      <c r="F10" s="200">
        <f t="shared" si="1"/>
        <v>0</v>
      </c>
      <c r="G10" s="200">
        <f t="shared" si="1"/>
        <v>0</v>
      </c>
      <c r="H10" s="200">
        <f t="shared" si="1"/>
        <v>0</v>
      </c>
      <c r="I10" s="200">
        <f t="shared" si="1"/>
        <v>0</v>
      </c>
      <c r="J10" s="200">
        <f t="shared" si="1"/>
        <v>0</v>
      </c>
      <c r="K10" s="200">
        <f t="shared" si="1"/>
        <v>11191</v>
      </c>
      <c r="L10" s="200">
        <f>L11+L25+L33+L38+L50+L54+L55+L56+L57+L58</f>
        <v>0</v>
      </c>
    </row>
    <row r="11" spans="1:12" s="202" customFormat="1" ht="19.5" customHeight="1">
      <c r="A11" s="78" t="s">
        <v>183</v>
      </c>
      <c r="B11" s="79" t="s">
        <v>184</v>
      </c>
      <c r="C11" s="200">
        <f>SUM(C12:C24)</f>
        <v>171893.80000000002</v>
      </c>
      <c r="D11" s="200">
        <f aca="true" t="shared" si="2" ref="D11:K11">SUM(D12:D24)</f>
        <v>0</v>
      </c>
      <c r="E11" s="200">
        <f t="shared" si="2"/>
        <v>169042.80000000002</v>
      </c>
      <c r="F11" s="200">
        <f t="shared" si="2"/>
        <v>0</v>
      </c>
      <c r="G11" s="200">
        <f t="shared" si="2"/>
        <v>0</v>
      </c>
      <c r="H11" s="200">
        <f t="shared" si="2"/>
        <v>0</v>
      </c>
      <c r="I11" s="200">
        <f t="shared" si="2"/>
        <v>0</v>
      </c>
      <c r="J11" s="200">
        <f t="shared" si="2"/>
        <v>0</v>
      </c>
      <c r="K11" s="200">
        <f t="shared" si="2"/>
        <v>2851</v>
      </c>
      <c r="L11" s="200">
        <f>SUM(L12:L23)</f>
        <v>0</v>
      </c>
    </row>
    <row r="12" spans="1:12" s="202" customFormat="1" ht="19.5" customHeight="1">
      <c r="A12" s="114">
        <v>1</v>
      </c>
      <c r="B12" s="115" t="s">
        <v>131</v>
      </c>
      <c r="C12" s="203">
        <f aca="true" t="shared" si="3" ref="C12:C24">SUM(D12:L12)</f>
        <v>4975.8</v>
      </c>
      <c r="D12" s="200"/>
      <c r="E12" s="203">
        <f>'[1]TX CQ 05'!F9</f>
        <v>4975.8</v>
      </c>
      <c r="F12" s="203"/>
      <c r="G12" s="203"/>
      <c r="H12" s="204"/>
      <c r="I12" s="204"/>
      <c r="J12" s="204"/>
      <c r="K12" s="204"/>
      <c r="L12" s="204"/>
    </row>
    <row r="13" spans="1:12" s="202" customFormat="1" ht="19.5" customHeight="1">
      <c r="A13" s="114">
        <v>2</v>
      </c>
      <c r="B13" s="115" t="s">
        <v>258</v>
      </c>
      <c r="C13" s="203">
        <f t="shared" si="3"/>
        <v>1884.6</v>
      </c>
      <c r="D13" s="200"/>
      <c r="E13" s="203">
        <f>'[1]TX CQ 05'!F10</f>
        <v>1884.6</v>
      </c>
      <c r="F13" s="203"/>
      <c r="G13" s="203"/>
      <c r="H13" s="204"/>
      <c r="I13" s="204"/>
      <c r="J13" s="204"/>
      <c r="K13" s="205">
        <v>0</v>
      </c>
      <c r="L13" s="204"/>
    </row>
    <row r="14" spans="1:12" s="202" customFormat="1" ht="19.5" customHeight="1">
      <c r="A14" s="114">
        <v>3</v>
      </c>
      <c r="B14" s="115" t="s">
        <v>259</v>
      </c>
      <c r="C14" s="203">
        <f t="shared" si="3"/>
        <v>11121.6</v>
      </c>
      <c r="D14" s="200"/>
      <c r="E14" s="203">
        <f>'[1]TX CQ 05'!F11</f>
        <v>11121.6</v>
      </c>
      <c r="F14" s="203"/>
      <c r="G14" s="203"/>
      <c r="H14" s="204"/>
      <c r="I14" s="204"/>
      <c r="J14" s="204"/>
      <c r="K14" s="205"/>
      <c r="L14" s="204"/>
    </row>
    <row r="15" spans="1:12" s="202" customFormat="1" ht="19.5" customHeight="1">
      <c r="A15" s="114">
        <v>4</v>
      </c>
      <c r="B15" s="115" t="s">
        <v>260</v>
      </c>
      <c r="C15" s="203">
        <f t="shared" si="3"/>
        <v>1043.1</v>
      </c>
      <c r="D15" s="200"/>
      <c r="E15" s="203">
        <f>'[1]TX CQ 05'!F12</f>
        <v>1043.1</v>
      </c>
      <c r="F15" s="203"/>
      <c r="G15" s="203"/>
      <c r="H15" s="204"/>
      <c r="I15" s="204"/>
      <c r="J15" s="204"/>
      <c r="K15" s="205">
        <v>0</v>
      </c>
      <c r="L15" s="204"/>
    </row>
    <row r="16" spans="1:12" s="202" customFormat="1" ht="19.5" customHeight="1">
      <c r="A16" s="114">
        <v>5</v>
      </c>
      <c r="B16" s="130" t="s">
        <v>132</v>
      </c>
      <c r="C16" s="203">
        <f t="shared" si="3"/>
        <v>1398.6</v>
      </c>
      <c r="D16" s="200"/>
      <c r="E16" s="203">
        <f>'[1]TX CQ 05'!F13</f>
        <v>1398.6</v>
      </c>
      <c r="F16" s="203"/>
      <c r="G16" s="203"/>
      <c r="H16" s="204"/>
      <c r="I16" s="204"/>
      <c r="J16" s="204"/>
      <c r="K16" s="204"/>
      <c r="L16" s="204"/>
    </row>
    <row r="17" spans="1:12" s="202" customFormat="1" ht="19.5" customHeight="1">
      <c r="A17" s="114">
        <v>6</v>
      </c>
      <c r="B17" s="130" t="s">
        <v>261</v>
      </c>
      <c r="C17" s="203">
        <f t="shared" si="3"/>
        <v>2201.9</v>
      </c>
      <c r="D17" s="200"/>
      <c r="E17" s="203">
        <f>'[1]TX CQ 05'!F14</f>
        <v>2201.9</v>
      </c>
      <c r="F17" s="203"/>
      <c r="G17" s="203"/>
      <c r="H17" s="204"/>
      <c r="I17" s="204"/>
      <c r="J17" s="204"/>
      <c r="K17" s="205">
        <v>0</v>
      </c>
      <c r="L17" s="204"/>
    </row>
    <row r="18" spans="1:12" s="202" customFormat="1" ht="19.5" customHeight="1">
      <c r="A18" s="114">
        <v>7</v>
      </c>
      <c r="B18" s="130" t="s">
        <v>262</v>
      </c>
      <c r="C18" s="203">
        <f t="shared" si="3"/>
        <v>97493</v>
      </c>
      <c r="D18" s="200"/>
      <c r="E18" s="203">
        <f>'[1]TX CQ 05'!F15</f>
        <v>94982</v>
      </c>
      <c r="F18" s="203"/>
      <c r="G18" s="203"/>
      <c r="H18" s="204"/>
      <c r="I18" s="204"/>
      <c r="J18" s="204"/>
      <c r="K18" s="205">
        <f>'[1]TX CQ 05'!E15</f>
        <v>2511</v>
      </c>
      <c r="L18" s="204"/>
    </row>
    <row r="19" spans="1:12" s="202" customFormat="1" ht="19.5" customHeight="1">
      <c r="A19" s="114">
        <v>8</v>
      </c>
      <c r="B19" s="130" t="s">
        <v>133</v>
      </c>
      <c r="C19" s="203">
        <f t="shared" si="3"/>
        <v>1191.1</v>
      </c>
      <c r="D19" s="200"/>
      <c r="E19" s="203">
        <f>'[1]TX CQ 05'!F16</f>
        <v>1191.1</v>
      </c>
      <c r="F19" s="203"/>
      <c r="G19" s="203"/>
      <c r="H19" s="204"/>
      <c r="I19" s="204"/>
      <c r="J19" s="204"/>
      <c r="K19" s="205"/>
      <c r="L19" s="204"/>
    </row>
    <row r="20" spans="1:12" s="202" customFormat="1" ht="19.5" customHeight="1">
      <c r="A20" s="114">
        <v>9</v>
      </c>
      <c r="B20" s="130" t="s">
        <v>116</v>
      </c>
      <c r="C20" s="203">
        <f t="shared" si="3"/>
        <v>722.7</v>
      </c>
      <c r="D20" s="200"/>
      <c r="E20" s="203">
        <f>'[1]TX CQ 05'!F17</f>
        <v>722.7</v>
      </c>
      <c r="F20" s="203"/>
      <c r="G20" s="203"/>
      <c r="H20" s="204"/>
      <c r="I20" s="204"/>
      <c r="J20" s="204"/>
      <c r="K20" s="205"/>
      <c r="L20" s="204"/>
    </row>
    <row r="21" spans="1:12" s="202" customFormat="1" ht="19.5" customHeight="1">
      <c r="A21" s="114">
        <v>10</v>
      </c>
      <c r="B21" s="130" t="s">
        <v>134</v>
      </c>
      <c r="C21" s="203">
        <f t="shared" si="3"/>
        <v>5559.8</v>
      </c>
      <c r="D21" s="200"/>
      <c r="E21" s="203">
        <f>'[1]TX CQ 05'!F18</f>
        <v>5219.8</v>
      </c>
      <c r="F21" s="203"/>
      <c r="G21" s="203"/>
      <c r="H21" s="204"/>
      <c r="I21" s="204"/>
      <c r="J21" s="204"/>
      <c r="K21" s="205">
        <f>'[1]TX CQ 05'!E18</f>
        <v>340</v>
      </c>
      <c r="L21" s="204"/>
    </row>
    <row r="22" spans="1:12" s="202" customFormat="1" ht="19.5" customHeight="1">
      <c r="A22" s="114">
        <v>11</v>
      </c>
      <c r="B22" s="115" t="s">
        <v>263</v>
      </c>
      <c r="C22" s="203">
        <f t="shared" si="3"/>
        <v>546.7</v>
      </c>
      <c r="D22" s="200"/>
      <c r="E22" s="203">
        <f>'[1]TX CQ 05'!F19</f>
        <v>546.7</v>
      </c>
      <c r="F22" s="203"/>
      <c r="G22" s="203"/>
      <c r="H22" s="204"/>
      <c r="I22" s="204"/>
      <c r="J22" s="204"/>
      <c r="K22" s="205"/>
      <c r="L22" s="204"/>
    </row>
    <row r="23" spans="1:12" s="202" customFormat="1" ht="19.5" customHeight="1">
      <c r="A23" s="114">
        <v>12</v>
      </c>
      <c r="B23" s="131" t="s">
        <v>264</v>
      </c>
      <c r="C23" s="203">
        <f t="shared" si="3"/>
        <v>41414.9</v>
      </c>
      <c r="D23" s="200"/>
      <c r="E23" s="203">
        <f>'[1]TX CQ 05'!F20</f>
        <v>41414.9</v>
      </c>
      <c r="F23" s="203"/>
      <c r="G23" s="203"/>
      <c r="H23" s="204"/>
      <c r="I23" s="204"/>
      <c r="J23" s="204"/>
      <c r="K23" s="205"/>
      <c r="L23" s="204"/>
    </row>
    <row r="24" spans="1:12" s="202" customFormat="1" ht="19.5" customHeight="1">
      <c r="A24" s="114">
        <v>13</v>
      </c>
      <c r="B24" s="115" t="s">
        <v>135</v>
      </c>
      <c r="C24" s="203">
        <f t="shared" si="3"/>
        <v>2340</v>
      </c>
      <c r="D24" s="203">
        <f aca="true" t="shared" si="4" ref="D24:K24">SUM(D26:D32)</f>
        <v>0</v>
      </c>
      <c r="E24" s="203">
        <f>'[1]TX CQ 05'!F21</f>
        <v>2340</v>
      </c>
      <c r="F24" s="203"/>
      <c r="G24" s="203"/>
      <c r="H24" s="203">
        <f t="shared" si="4"/>
        <v>0</v>
      </c>
      <c r="I24" s="203">
        <f t="shared" si="4"/>
        <v>0</v>
      </c>
      <c r="J24" s="203">
        <f t="shared" si="4"/>
        <v>0</v>
      </c>
      <c r="K24" s="203">
        <f t="shared" si="4"/>
        <v>0</v>
      </c>
      <c r="L24" s="205"/>
    </row>
    <row r="25" spans="1:12" s="202" customFormat="1" ht="19.5" customHeight="1">
      <c r="A25" s="78" t="s">
        <v>185</v>
      </c>
      <c r="B25" s="79" t="s">
        <v>193</v>
      </c>
      <c r="C25" s="200">
        <f>SUM(C26:C32)</f>
        <v>12027.900000000003</v>
      </c>
      <c r="D25" s="200">
        <f>SUM(D26:D32)</f>
        <v>0</v>
      </c>
      <c r="E25" s="200">
        <f>SUM(E26:E32)</f>
        <v>12027.900000000003</v>
      </c>
      <c r="F25" s="200"/>
      <c r="G25" s="200"/>
      <c r="H25" s="200"/>
      <c r="I25" s="200"/>
      <c r="J25" s="200"/>
      <c r="K25" s="200"/>
      <c r="L25" s="204"/>
    </row>
    <row r="26" spans="1:13" s="202" customFormat="1" ht="19.5" customHeight="1">
      <c r="A26" s="114">
        <v>1</v>
      </c>
      <c r="B26" s="115" t="s">
        <v>136</v>
      </c>
      <c r="C26" s="203">
        <f aca="true" t="shared" si="5" ref="C26:C32">SUM(D26:L26)</f>
        <v>6750.4</v>
      </c>
      <c r="D26" s="200"/>
      <c r="E26" s="203">
        <f>'[1]TX CQ 05'!F22</f>
        <v>6750.4</v>
      </c>
      <c r="F26" s="203"/>
      <c r="G26" s="203"/>
      <c r="H26" s="204"/>
      <c r="I26" s="204"/>
      <c r="J26" s="204"/>
      <c r="K26" s="204"/>
      <c r="L26" s="204"/>
      <c r="M26" s="201"/>
    </row>
    <row r="27" spans="1:12" s="202" customFormat="1" ht="19.5" customHeight="1">
      <c r="A27" s="114">
        <v>2</v>
      </c>
      <c r="B27" s="115" t="s">
        <v>265</v>
      </c>
      <c r="C27" s="203">
        <f t="shared" si="5"/>
        <v>1808.6</v>
      </c>
      <c r="D27" s="200"/>
      <c r="E27" s="203">
        <f>'[1]TX CQ 05'!F23</f>
        <v>1808.6</v>
      </c>
      <c r="F27" s="203"/>
      <c r="G27" s="203"/>
      <c r="H27" s="204"/>
      <c r="I27" s="204"/>
      <c r="J27" s="204"/>
      <c r="K27" s="204"/>
      <c r="L27" s="204"/>
    </row>
    <row r="28" spans="1:12" s="202" customFormat="1" ht="19.5" customHeight="1">
      <c r="A28" s="114">
        <v>3</v>
      </c>
      <c r="B28" s="115" t="s">
        <v>266</v>
      </c>
      <c r="C28" s="203">
        <f t="shared" si="5"/>
        <v>670.7</v>
      </c>
      <c r="D28" s="200"/>
      <c r="E28" s="203">
        <f>'[1]TX CQ 05'!F24</f>
        <v>670.7</v>
      </c>
      <c r="F28" s="203"/>
      <c r="G28" s="203"/>
      <c r="H28" s="204"/>
      <c r="I28" s="204"/>
      <c r="J28" s="204"/>
      <c r="K28" s="204"/>
      <c r="L28" s="204"/>
    </row>
    <row r="29" spans="1:12" s="202" customFormat="1" ht="19.5" customHeight="1">
      <c r="A29" s="114">
        <v>4</v>
      </c>
      <c r="B29" s="115" t="s">
        <v>267</v>
      </c>
      <c r="C29" s="203">
        <f t="shared" si="5"/>
        <v>710.6</v>
      </c>
      <c r="D29" s="200"/>
      <c r="E29" s="203">
        <f>'[1]TX CQ 05'!F25</f>
        <v>710.6</v>
      </c>
      <c r="F29" s="203"/>
      <c r="G29" s="203"/>
      <c r="H29" s="204"/>
      <c r="I29" s="204"/>
      <c r="J29" s="204"/>
      <c r="K29" s="204"/>
      <c r="L29" s="204"/>
    </row>
    <row r="30" spans="1:12" s="202" customFormat="1" ht="19.5" customHeight="1">
      <c r="A30" s="114">
        <v>5</v>
      </c>
      <c r="B30" s="115" t="s">
        <v>137</v>
      </c>
      <c r="C30" s="203">
        <f t="shared" si="5"/>
        <v>612.7</v>
      </c>
      <c r="D30" s="200"/>
      <c r="E30" s="203">
        <f>'[1]TX CQ 05'!F26</f>
        <v>612.7</v>
      </c>
      <c r="F30" s="203"/>
      <c r="G30" s="203"/>
      <c r="H30" s="204"/>
      <c r="I30" s="204"/>
      <c r="J30" s="204"/>
      <c r="K30" s="204"/>
      <c r="L30" s="204"/>
    </row>
    <row r="31" spans="1:12" s="202" customFormat="1" ht="19.5" customHeight="1">
      <c r="A31" s="114">
        <v>6</v>
      </c>
      <c r="B31" s="115" t="s">
        <v>268</v>
      </c>
      <c r="C31" s="203">
        <f t="shared" si="5"/>
        <v>1046.7</v>
      </c>
      <c r="D31" s="200"/>
      <c r="E31" s="203">
        <f>'[1]TX CQ 05'!F27</f>
        <v>1046.7</v>
      </c>
      <c r="F31" s="203"/>
      <c r="G31" s="203"/>
      <c r="H31" s="204"/>
      <c r="I31" s="204"/>
      <c r="J31" s="204"/>
      <c r="K31" s="204"/>
      <c r="L31" s="204"/>
    </row>
    <row r="32" spans="1:12" s="202" customFormat="1" ht="19.5" customHeight="1">
      <c r="A32" s="114">
        <v>7</v>
      </c>
      <c r="B32" s="115" t="s">
        <v>269</v>
      </c>
      <c r="C32" s="203">
        <f t="shared" si="5"/>
        <v>428.2</v>
      </c>
      <c r="D32" s="200"/>
      <c r="E32" s="203">
        <f>'[1]TX CQ 05'!F28</f>
        <v>428.2</v>
      </c>
      <c r="F32" s="203"/>
      <c r="G32" s="203"/>
      <c r="H32" s="204"/>
      <c r="I32" s="204"/>
      <c r="J32" s="204"/>
      <c r="K32" s="204"/>
      <c r="L32" s="204"/>
    </row>
    <row r="33" spans="1:12" s="202" customFormat="1" ht="19.5" customHeight="1">
      <c r="A33" s="78" t="s">
        <v>186</v>
      </c>
      <c r="B33" s="79" t="s">
        <v>270</v>
      </c>
      <c r="C33" s="200">
        <f>SUM(C34:C37)</f>
        <v>319878.4</v>
      </c>
      <c r="D33" s="200">
        <f aca="true" t="shared" si="6" ref="D33:L33">SUM(D34:D37)</f>
        <v>0</v>
      </c>
      <c r="E33" s="200">
        <f t="shared" si="6"/>
        <v>312038.4</v>
      </c>
      <c r="F33" s="200">
        <f t="shared" si="6"/>
        <v>0</v>
      </c>
      <c r="G33" s="200">
        <f t="shared" si="6"/>
        <v>0</v>
      </c>
      <c r="H33" s="200">
        <f t="shared" si="6"/>
        <v>0</v>
      </c>
      <c r="I33" s="200">
        <f t="shared" si="6"/>
        <v>0</v>
      </c>
      <c r="J33" s="200">
        <f t="shared" si="6"/>
        <v>0</v>
      </c>
      <c r="K33" s="200">
        <f t="shared" si="6"/>
        <v>7840</v>
      </c>
      <c r="L33" s="200">
        <f t="shared" si="6"/>
        <v>0</v>
      </c>
    </row>
    <row r="34" spans="1:12" s="202" customFormat="1" ht="19.5" customHeight="1">
      <c r="A34" s="114">
        <v>1</v>
      </c>
      <c r="B34" s="115" t="s">
        <v>138</v>
      </c>
      <c r="C34" s="203">
        <f>SUM(D34:L34)</f>
        <v>4481.4</v>
      </c>
      <c r="D34" s="200"/>
      <c r="E34" s="203">
        <f>'[1]TX CQ 05'!F29</f>
        <v>4481.4</v>
      </c>
      <c r="F34" s="203"/>
      <c r="G34" s="203"/>
      <c r="H34" s="204"/>
      <c r="I34" s="204"/>
      <c r="J34" s="204"/>
      <c r="K34" s="204"/>
      <c r="L34" s="204"/>
    </row>
    <row r="35" spans="1:12" s="202" customFormat="1" ht="31.5" customHeight="1">
      <c r="A35" s="114">
        <v>2</v>
      </c>
      <c r="B35" s="115" t="s">
        <v>271</v>
      </c>
      <c r="C35" s="203">
        <f>SUM(D35:L35)</f>
        <v>4022</v>
      </c>
      <c r="D35" s="200"/>
      <c r="E35" s="203">
        <f>'[1]TX CQ 05'!F30</f>
        <v>4022</v>
      </c>
      <c r="F35" s="203"/>
      <c r="G35" s="203"/>
      <c r="H35" s="204"/>
      <c r="I35" s="204"/>
      <c r="J35" s="204"/>
      <c r="K35" s="204"/>
      <c r="L35" s="204"/>
    </row>
    <row r="36" spans="1:12" s="202" customFormat="1" ht="19.5" customHeight="1">
      <c r="A36" s="114">
        <v>3</v>
      </c>
      <c r="B36" s="115" t="s">
        <v>272</v>
      </c>
      <c r="C36" s="203">
        <f>SUM(D36:L36)</f>
        <v>3308</v>
      </c>
      <c r="D36" s="200"/>
      <c r="E36" s="203">
        <f>'[1]TX CQ 05'!F31</f>
        <v>3308</v>
      </c>
      <c r="F36" s="203"/>
      <c r="G36" s="203"/>
      <c r="H36" s="204"/>
      <c r="I36" s="204"/>
      <c r="J36" s="204"/>
      <c r="K36" s="205"/>
      <c r="L36" s="204"/>
    </row>
    <row r="37" spans="1:12" s="202" customFormat="1" ht="19.5" customHeight="1">
      <c r="A37" s="114">
        <v>4</v>
      </c>
      <c r="B37" s="115" t="s">
        <v>273</v>
      </c>
      <c r="C37" s="203">
        <f>SUM(D37:L37)</f>
        <v>308067</v>
      </c>
      <c r="D37" s="200"/>
      <c r="E37" s="203">
        <f>'[1]TX CQ 05'!F45</f>
        <v>300227</v>
      </c>
      <c r="F37" s="203"/>
      <c r="G37" s="203"/>
      <c r="H37" s="204"/>
      <c r="I37" s="204"/>
      <c r="J37" s="204"/>
      <c r="K37" s="205">
        <f>'[1]TX CQ 05'!E45</f>
        <v>7840</v>
      </c>
      <c r="L37" s="204"/>
    </row>
    <row r="38" spans="1:12" s="202" customFormat="1" ht="19.5" customHeight="1">
      <c r="A38" s="78" t="s">
        <v>192</v>
      </c>
      <c r="B38" s="79" t="s">
        <v>187</v>
      </c>
      <c r="C38" s="200">
        <f>SUM(C39:C49)</f>
        <v>911.8</v>
      </c>
      <c r="D38" s="200">
        <f>SUM(D39:D49)</f>
        <v>0</v>
      </c>
      <c r="E38" s="200">
        <f>SUM(E39:E49)</f>
        <v>911.8</v>
      </c>
      <c r="F38" s="200"/>
      <c r="G38" s="200"/>
      <c r="H38" s="204"/>
      <c r="I38" s="204"/>
      <c r="J38" s="204"/>
      <c r="K38" s="204"/>
      <c r="L38" s="204"/>
    </row>
    <row r="39" spans="1:12" s="202" customFormat="1" ht="19.5" customHeight="1">
      <c r="A39" s="114">
        <v>1</v>
      </c>
      <c r="B39" s="115" t="s">
        <v>139</v>
      </c>
      <c r="C39" s="203">
        <f aca="true" t="shared" si="7" ref="C39:C58">SUM(D39:L39)</f>
        <v>325.1</v>
      </c>
      <c r="D39" s="200"/>
      <c r="E39" s="203">
        <f>'[1]TX CQ 05'!D32</f>
        <v>325.1</v>
      </c>
      <c r="F39" s="203"/>
      <c r="G39" s="203"/>
      <c r="H39" s="204"/>
      <c r="I39" s="204"/>
      <c r="J39" s="204"/>
      <c r="K39" s="204"/>
      <c r="L39" s="204"/>
    </row>
    <row r="40" spans="1:12" s="202" customFormat="1" ht="19.5" customHeight="1">
      <c r="A40" s="114">
        <v>2</v>
      </c>
      <c r="B40" s="115" t="s">
        <v>140</v>
      </c>
      <c r="C40" s="203">
        <f t="shared" si="7"/>
        <v>179.4</v>
      </c>
      <c r="D40" s="200"/>
      <c r="E40" s="203">
        <f>'[1]TX CQ 05'!D33</f>
        <v>179.4</v>
      </c>
      <c r="F40" s="203"/>
      <c r="G40" s="203"/>
      <c r="H40" s="204"/>
      <c r="I40" s="204"/>
      <c r="J40" s="204"/>
      <c r="K40" s="204"/>
      <c r="L40" s="204"/>
    </row>
    <row r="41" spans="1:12" s="202" customFormat="1" ht="19.5" customHeight="1">
      <c r="A41" s="114">
        <v>3</v>
      </c>
      <c r="B41" s="115" t="s">
        <v>141</v>
      </c>
      <c r="C41" s="203">
        <f t="shared" si="7"/>
        <v>225.3</v>
      </c>
      <c r="D41" s="200"/>
      <c r="E41" s="203">
        <f>'[1]TX CQ 05'!D34</f>
        <v>225.3</v>
      </c>
      <c r="F41" s="203"/>
      <c r="G41" s="203"/>
      <c r="H41" s="204"/>
      <c r="I41" s="204"/>
      <c r="J41" s="204"/>
      <c r="K41" s="204"/>
      <c r="L41" s="204"/>
    </row>
    <row r="42" spans="1:12" s="202" customFormat="1" ht="19.5" customHeight="1">
      <c r="A42" s="114">
        <v>4</v>
      </c>
      <c r="B42" s="115" t="s">
        <v>142</v>
      </c>
      <c r="C42" s="203">
        <f t="shared" si="7"/>
        <v>48</v>
      </c>
      <c r="D42" s="200"/>
      <c r="E42" s="203">
        <f>'[1]TX CQ 05'!D35</f>
        <v>48</v>
      </c>
      <c r="F42" s="203"/>
      <c r="G42" s="203"/>
      <c r="H42" s="204"/>
      <c r="I42" s="204"/>
      <c r="J42" s="204"/>
      <c r="K42" s="204"/>
      <c r="L42" s="204"/>
    </row>
    <row r="43" spans="1:12" s="202" customFormat="1" ht="19.5" customHeight="1">
      <c r="A43" s="114">
        <v>5</v>
      </c>
      <c r="B43" s="115" t="s">
        <v>144</v>
      </c>
      <c r="C43" s="203">
        <f t="shared" si="7"/>
        <v>78</v>
      </c>
      <c r="D43" s="200"/>
      <c r="E43" s="203">
        <f>'[1]TX CQ 05'!D36</f>
        <v>78</v>
      </c>
      <c r="F43" s="203"/>
      <c r="G43" s="203"/>
      <c r="H43" s="204"/>
      <c r="I43" s="204"/>
      <c r="J43" s="204"/>
      <c r="K43" s="204"/>
      <c r="L43" s="204"/>
    </row>
    <row r="44" spans="1:12" s="202" customFormat="1" ht="19.5" customHeight="1">
      <c r="A44" s="114">
        <v>6</v>
      </c>
      <c r="B44" s="115" t="s">
        <v>143</v>
      </c>
      <c r="C44" s="203">
        <f t="shared" si="7"/>
        <v>10</v>
      </c>
      <c r="D44" s="200"/>
      <c r="E44" s="203">
        <f>'[1]TX CQ 05'!D37</f>
        <v>10</v>
      </c>
      <c r="F44" s="203"/>
      <c r="G44" s="203"/>
      <c r="H44" s="204"/>
      <c r="I44" s="204"/>
      <c r="J44" s="204"/>
      <c r="K44" s="204"/>
      <c r="L44" s="204"/>
    </row>
    <row r="45" spans="1:12" s="202" customFormat="1" ht="19.5" customHeight="1">
      <c r="A45" s="114">
        <v>7</v>
      </c>
      <c r="B45" s="115" t="s">
        <v>188</v>
      </c>
      <c r="C45" s="203">
        <f t="shared" si="7"/>
        <v>10</v>
      </c>
      <c r="D45" s="200"/>
      <c r="E45" s="203">
        <f>'[1]TX CQ 05'!D38</f>
        <v>10</v>
      </c>
      <c r="F45" s="203"/>
      <c r="G45" s="203"/>
      <c r="H45" s="204"/>
      <c r="I45" s="204"/>
      <c r="J45" s="204"/>
      <c r="K45" s="204"/>
      <c r="L45" s="204"/>
    </row>
    <row r="46" spans="1:12" s="202" customFormat="1" ht="19.5" customHeight="1">
      <c r="A46" s="114">
        <v>8</v>
      </c>
      <c r="B46" s="115" t="s">
        <v>189</v>
      </c>
      <c r="C46" s="203">
        <f t="shared" si="7"/>
        <v>10</v>
      </c>
      <c r="D46" s="200"/>
      <c r="E46" s="203">
        <f>'[1]TX CQ 05'!D39</f>
        <v>10</v>
      </c>
      <c r="F46" s="203"/>
      <c r="G46" s="203"/>
      <c r="H46" s="204"/>
      <c r="I46" s="204"/>
      <c r="J46" s="204"/>
      <c r="K46" s="204"/>
      <c r="L46" s="204"/>
    </row>
    <row r="47" spans="1:12" s="202" customFormat="1" ht="19.5" customHeight="1">
      <c r="A47" s="114">
        <v>9</v>
      </c>
      <c r="B47" s="115" t="s">
        <v>190</v>
      </c>
      <c r="C47" s="203">
        <f t="shared" si="7"/>
        <v>10</v>
      </c>
      <c r="D47" s="200"/>
      <c r="E47" s="203">
        <f>'[1]TX CQ 05'!D40</f>
        <v>10</v>
      </c>
      <c r="F47" s="203"/>
      <c r="G47" s="203"/>
      <c r="H47" s="204"/>
      <c r="I47" s="204"/>
      <c r="J47" s="204"/>
      <c r="K47" s="204"/>
      <c r="L47" s="204"/>
    </row>
    <row r="48" spans="1:12" s="202" customFormat="1" ht="19.5" customHeight="1">
      <c r="A48" s="114">
        <v>10</v>
      </c>
      <c r="B48" s="115" t="s">
        <v>191</v>
      </c>
      <c r="C48" s="203">
        <f t="shared" si="7"/>
        <v>10</v>
      </c>
      <c r="D48" s="200"/>
      <c r="E48" s="203">
        <f>'[1]TX CQ 05'!D41</f>
        <v>10</v>
      </c>
      <c r="F48" s="203"/>
      <c r="G48" s="203"/>
      <c r="H48" s="204"/>
      <c r="I48" s="204"/>
      <c r="J48" s="204"/>
      <c r="K48" s="204"/>
      <c r="L48" s="204"/>
    </row>
    <row r="49" spans="1:12" s="202" customFormat="1" ht="42" customHeight="1">
      <c r="A49" s="114">
        <v>11</v>
      </c>
      <c r="B49" s="115" t="s">
        <v>274</v>
      </c>
      <c r="C49" s="203">
        <f t="shared" si="7"/>
        <v>6</v>
      </c>
      <c r="D49" s="200"/>
      <c r="E49" s="203">
        <f>'[1]TX CQ 05'!D42</f>
        <v>6</v>
      </c>
      <c r="F49" s="203"/>
      <c r="G49" s="203"/>
      <c r="H49" s="204"/>
      <c r="I49" s="204"/>
      <c r="J49" s="204"/>
      <c r="K49" s="204"/>
      <c r="L49" s="204"/>
    </row>
    <row r="50" spans="1:12" s="202" customFormat="1" ht="19.5" customHeight="1">
      <c r="A50" s="78" t="s">
        <v>194</v>
      </c>
      <c r="B50" s="79" t="s">
        <v>275</v>
      </c>
      <c r="C50" s="200">
        <f t="shared" si="7"/>
        <v>360</v>
      </c>
      <c r="D50" s="200">
        <f>SUM(D51:D53)</f>
        <v>0</v>
      </c>
      <c r="E50" s="200">
        <f>SUM(E51:E53)</f>
        <v>360</v>
      </c>
      <c r="F50" s="200"/>
      <c r="G50" s="200"/>
      <c r="H50" s="204"/>
      <c r="I50" s="204"/>
      <c r="J50" s="204"/>
      <c r="K50" s="204"/>
      <c r="L50" s="204"/>
    </row>
    <row r="51" spans="1:12" s="202" customFormat="1" ht="19.5" customHeight="1">
      <c r="A51" s="114">
        <v>1</v>
      </c>
      <c r="B51" s="115" t="s">
        <v>145</v>
      </c>
      <c r="C51" s="203">
        <f t="shared" si="7"/>
        <v>150</v>
      </c>
      <c r="D51" s="200"/>
      <c r="E51" s="203">
        <f>'[1]TX CQ 05'!D49</f>
        <v>150</v>
      </c>
      <c r="F51" s="203"/>
      <c r="G51" s="203"/>
      <c r="H51" s="204"/>
      <c r="I51" s="204"/>
      <c r="J51" s="204"/>
      <c r="K51" s="204"/>
      <c r="L51" s="204"/>
    </row>
    <row r="52" spans="1:12" s="202" customFormat="1" ht="19.5" customHeight="1">
      <c r="A52" s="114">
        <v>2</v>
      </c>
      <c r="B52" s="115" t="s">
        <v>146</v>
      </c>
      <c r="C52" s="203">
        <f t="shared" si="7"/>
        <v>120</v>
      </c>
      <c r="D52" s="200"/>
      <c r="E52" s="203">
        <f>'[1]TX CQ 05'!D50</f>
        <v>120</v>
      </c>
      <c r="F52" s="203"/>
      <c r="G52" s="203"/>
      <c r="H52" s="204"/>
      <c r="I52" s="204"/>
      <c r="J52" s="204"/>
      <c r="K52" s="204"/>
      <c r="L52" s="204"/>
    </row>
    <row r="53" spans="1:12" s="202" customFormat="1" ht="19.5" customHeight="1">
      <c r="A53" s="114">
        <v>3</v>
      </c>
      <c r="B53" s="115" t="s">
        <v>147</v>
      </c>
      <c r="C53" s="203">
        <f t="shared" si="7"/>
        <v>90</v>
      </c>
      <c r="D53" s="200"/>
      <c r="E53" s="203">
        <f>'[1]TX CQ 05'!D51</f>
        <v>90</v>
      </c>
      <c r="F53" s="203"/>
      <c r="G53" s="203"/>
      <c r="H53" s="204"/>
      <c r="I53" s="204"/>
      <c r="J53" s="204"/>
      <c r="K53" s="204"/>
      <c r="L53" s="204"/>
    </row>
    <row r="54" spans="1:12" s="202" customFormat="1" ht="19.5" customHeight="1">
      <c r="A54" s="78" t="s">
        <v>195</v>
      </c>
      <c r="B54" s="79" t="s">
        <v>276</v>
      </c>
      <c r="C54" s="200">
        <f t="shared" si="7"/>
        <v>21.092</v>
      </c>
      <c r="D54" s="200"/>
      <c r="E54" s="203">
        <f>'[1]TX CQ 05'!D52</f>
        <v>21.092</v>
      </c>
      <c r="F54" s="200"/>
      <c r="G54" s="200"/>
      <c r="H54" s="204"/>
      <c r="I54" s="204"/>
      <c r="J54" s="204"/>
      <c r="K54" s="204"/>
      <c r="L54" s="204"/>
    </row>
    <row r="55" spans="1:12" s="202" customFormat="1" ht="19.5" customHeight="1">
      <c r="A55" s="78" t="s">
        <v>196</v>
      </c>
      <c r="B55" s="79" t="s">
        <v>277</v>
      </c>
      <c r="C55" s="200">
        <f t="shared" si="7"/>
        <v>3817</v>
      </c>
      <c r="D55" s="200"/>
      <c r="E55" s="200">
        <f>'[1]TX CQ 05'!D43</f>
        <v>3817</v>
      </c>
      <c r="F55" s="200"/>
      <c r="G55" s="200"/>
      <c r="H55" s="204"/>
      <c r="I55" s="204"/>
      <c r="J55" s="204"/>
      <c r="K55" s="204"/>
      <c r="L55" s="204"/>
    </row>
    <row r="56" spans="1:12" s="202" customFormat="1" ht="19.5" customHeight="1">
      <c r="A56" s="78" t="s">
        <v>197</v>
      </c>
      <c r="B56" s="79" t="s">
        <v>278</v>
      </c>
      <c r="C56" s="200">
        <f t="shared" si="7"/>
        <v>706.8</v>
      </c>
      <c r="D56" s="200"/>
      <c r="E56" s="200">
        <f>'[1]TX CQ 05'!D44</f>
        <v>706.8</v>
      </c>
      <c r="F56" s="200"/>
      <c r="G56" s="200"/>
      <c r="H56" s="204"/>
      <c r="I56" s="204"/>
      <c r="J56" s="204"/>
      <c r="K56" s="204"/>
      <c r="L56" s="204"/>
    </row>
    <row r="57" spans="1:12" s="202" customFormat="1" ht="19.5" customHeight="1">
      <c r="A57" s="78" t="s">
        <v>198</v>
      </c>
      <c r="B57" s="79" t="s">
        <v>279</v>
      </c>
      <c r="C57" s="200">
        <f t="shared" si="7"/>
        <v>2000</v>
      </c>
      <c r="D57" s="200"/>
      <c r="E57" s="200">
        <f>'[1]TX CQ 05'!F53</f>
        <v>1500</v>
      </c>
      <c r="F57" s="200"/>
      <c r="G57" s="200"/>
      <c r="H57" s="204"/>
      <c r="I57" s="204"/>
      <c r="J57" s="204"/>
      <c r="K57" s="204">
        <f>'[1]TX CQ 05'!E53</f>
        <v>500</v>
      </c>
      <c r="L57" s="204"/>
    </row>
    <row r="58" spans="1:12" s="202" customFormat="1" ht="19.5" customHeight="1">
      <c r="A58" s="78" t="s">
        <v>199</v>
      </c>
      <c r="B58" s="79" t="s">
        <v>280</v>
      </c>
      <c r="C58" s="200">
        <f t="shared" si="7"/>
        <v>500</v>
      </c>
      <c r="D58" s="200"/>
      <c r="E58" s="200">
        <f>'[1]TX CQ 05'!D54</f>
        <v>500</v>
      </c>
      <c r="F58" s="200"/>
      <c r="G58" s="200"/>
      <c r="H58" s="204"/>
      <c r="I58" s="204"/>
      <c r="J58" s="204"/>
      <c r="K58" s="204"/>
      <c r="L58" s="204"/>
    </row>
    <row r="59" spans="1:12" s="202" customFormat="1" ht="19.5" customHeight="1">
      <c r="A59" s="78" t="s">
        <v>11</v>
      </c>
      <c r="B59" s="79" t="s">
        <v>281</v>
      </c>
      <c r="C59" s="200">
        <f aca="true" t="shared" si="8" ref="C59:L59">SUM(C60:C62)</f>
        <v>41992</v>
      </c>
      <c r="D59" s="200">
        <f t="shared" si="8"/>
        <v>0</v>
      </c>
      <c r="E59" s="200">
        <f t="shared" si="8"/>
        <v>19666</v>
      </c>
      <c r="F59" s="200">
        <f t="shared" si="8"/>
        <v>0</v>
      </c>
      <c r="G59" s="200">
        <f t="shared" si="8"/>
        <v>0</v>
      </c>
      <c r="H59" s="200">
        <f t="shared" si="8"/>
        <v>0</v>
      </c>
      <c r="I59" s="200">
        <f t="shared" si="8"/>
        <v>0</v>
      </c>
      <c r="J59" s="200">
        <f t="shared" si="8"/>
        <v>0</v>
      </c>
      <c r="K59" s="200">
        <f t="shared" si="8"/>
        <v>22326</v>
      </c>
      <c r="L59" s="200">
        <f t="shared" si="8"/>
        <v>0</v>
      </c>
    </row>
    <row r="60" spans="1:12" s="202" customFormat="1" ht="19.5" customHeight="1">
      <c r="A60" s="114">
        <v>1</v>
      </c>
      <c r="B60" s="115" t="s">
        <v>200</v>
      </c>
      <c r="C60" s="203">
        <f>SUM(D60:L60)</f>
        <v>21560</v>
      </c>
      <c r="D60" s="200"/>
      <c r="E60" s="203"/>
      <c r="F60" s="203"/>
      <c r="G60" s="203"/>
      <c r="H60" s="204"/>
      <c r="I60" s="204"/>
      <c r="J60" s="205"/>
      <c r="K60" s="205">
        <f>'[1]TX CQ 05'!E57</f>
        <v>21560</v>
      </c>
      <c r="L60" s="204"/>
    </row>
    <row r="61" spans="1:12" s="202" customFormat="1" ht="19.5" customHeight="1">
      <c r="A61" s="114">
        <v>2</v>
      </c>
      <c r="B61" s="115" t="s">
        <v>282</v>
      </c>
      <c r="C61" s="203">
        <f>SUM(D61:L61)</f>
        <v>16172</v>
      </c>
      <c r="D61" s="200"/>
      <c r="E61" s="203">
        <f>'[1]TX CQ 05'!F56</f>
        <v>15406</v>
      </c>
      <c r="F61" s="203"/>
      <c r="G61" s="203"/>
      <c r="H61" s="204"/>
      <c r="I61" s="204"/>
      <c r="J61" s="204"/>
      <c r="K61" s="205">
        <f>'[1]TX CQ 05'!E56</f>
        <v>766</v>
      </c>
      <c r="L61" s="204"/>
    </row>
    <row r="62" spans="1:12" s="202" customFormat="1" ht="19.5" customHeight="1">
      <c r="A62" s="114">
        <v>3</v>
      </c>
      <c r="B62" s="115" t="s">
        <v>128</v>
      </c>
      <c r="C62" s="203">
        <f>SUM(D62:L62)</f>
        <v>4260</v>
      </c>
      <c r="D62" s="200"/>
      <c r="E62" s="203">
        <f>'[1]TX CQ 05'!D58</f>
        <v>4260</v>
      </c>
      <c r="F62" s="203"/>
      <c r="G62" s="203"/>
      <c r="H62" s="204"/>
      <c r="I62" s="204"/>
      <c r="J62" s="204"/>
      <c r="K62" s="204"/>
      <c r="L62" s="204"/>
    </row>
    <row r="63" spans="1:12" s="202" customFormat="1" ht="19.5" customHeight="1">
      <c r="A63" s="78" t="s">
        <v>17</v>
      </c>
      <c r="B63" s="79" t="s">
        <v>283</v>
      </c>
      <c r="C63" s="200">
        <f>SUM(D63:L63)</f>
        <v>9458.300000000001</v>
      </c>
      <c r="D63" s="200"/>
      <c r="E63" s="200"/>
      <c r="F63" s="200"/>
      <c r="G63" s="200">
        <f>'[1]TX CQ 05'!V7</f>
        <v>9458.300000000001</v>
      </c>
      <c r="H63" s="204"/>
      <c r="I63" s="204"/>
      <c r="J63" s="204"/>
      <c r="K63" s="204"/>
      <c r="L63" s="204"/>
    </row>
    <row r="64" spans="3:7" ht="19.5" customHeight="1">
      <c r="C64" s="206"/>
      <c r="D64" s="206"/>
      <c r="E64" s="206"/>
      <c r="F64" s="206"/>
      <c r="G64" s="206"/>
    </row>
    <row r="65" spans="3:7" ht="19.5" customHeight="1">
      <c r="C65" s="206"/>
      <c r="D65" s="206"/>
      <c r="E65" s="206"/>
      <c r="F65" s="206"/>
      <c r="G65" s="206"/>
    </row>
    <row r="66" spans="3:7" ht="19.5" customHeight="1">
      <c r="C66" s="206"/>
      <c r="D66" s="206"/>
      <c r="E66" s="206"/>
      <c r="F66" s="206"/>
      <c r="G66" s="206"/>
    </row>
    <row r="67" spans="3:7" ht="19.5" customHeight="1">
      <c r="C67" s="206"/>
      <c r="D67" s="206"/>
      <c r="E67" s="206"/>
      <c r="F67" s="206"/>
      <c r="G67" s="206"/>
    </row>
    <row r="68" spans="3:7" ht="19.5" customHeight="1">
      <c r="C68" s="206"/>
      <c r="D68" s="206"/>
      <c r="E68" s="206"/>
      <c r="F68" s="206"/>
      <c r="G68" s="206"/>
    </row>
    <row r="69" spans="3:7" ht="19.5" customHeight="1">
      <c r="C69" s="206"/>
      <c r="D69" s="206"/>
      <c r="E69" s="206"/>
      <c r="F69" s="206"/>
      <c r="G69" s="206"/>
    </row>
    <row r="70" spans="3:7" ht="19.5" customHeight="1">
      <c r="C70" s="206"/>
      <c r="D70" s="206"/>
      <c r="E70" s="206"/>
      <c r="F70" s="206"/>
      <c r="G70" s="206"/>
    </row>
    <row r="71" spans="3:7" ht="19.5" customHeight="1">
      <c r="C71" s="206"/>
      <c r="D71" s="206"/>
      <c r="E71" s="206"/>
      <c r="F71" s="206"/>
      <c r="G71" s="206"/>
    </row>
    <row r="72" spans="3:7" ht="19.5" customHeight="1">
      <c r="C72" s="206"/>
      <c r="D72" s="206"/>
      <c r="E72" s="206"/>
      <c r="F72" s="206"/>
      <c r="G72" s="206"/>
    </row>
    <row r="73" spans="3:7" ht="19.5" customHeight="1">
      <c r="C73" s="206"/>
      <c r="D73" s="206"/>
      <c r="E73" s="206"/>
      <c r="F73" s="206"/>
      <c r="G73" s="206"/>
    </row>
    <row r="74" spans="3:7" ht="19.5" customHeight="1">
      <c r="C74" s="206"/>
      <c r="D74" s="206"/>
      <c r="E74" s="206"/>
      <c r="F74" s="206"/>
      <c r="G74" s="206"/>
    </row>
    <row r="75" spans="3:7" ht="19.5" customHeight="1">
      <c r="C75" s="206"/>
      <c r="D75" s="206"/>
      <c r="E75" s="206"/>
      <c r="F75" s="206"/>
      <c r="G75" s="206"/>
    </row>
    <row r="76" spans="3:7" ht="19.5" customHeight="1">
      <c r="C76" s="206"/>
      <c r="D76" s="206"/>
      <c r="E76" s="206"/>
      <c r="F76" s="206"/>
      <c r="G76" s="206"/>
    </row>
    <row r="77" spans="3:7" ht="19.5" customHeight="1">
      <c r="C77" s="206"/>
      <c r="D77" s="206"/>
      <c r="E77" s="206"/>
      <c r="F77" s="206"/>
      <c r="G77" s="206"/>
    </row>
    <row r="78" spans="3:7" ht="19.5" customHeight="1">
      <c r="C78" s="206"/>
      <c r="D78" s="206"/>
      <c r="E78" s="206"/>
      <c r="F78" s="206"/>
      <c r="G78" s="206"/>
    </row>
    <row r="79" spans="3:7" ht="19.5" customHeight="1">
      <c r="C79" s="206"/>
      <c r="D79" s="206"/>
      <c r="E79" s="206"/>
      <c r="F79" s="206"/>
      <c r="G79" s="206"/>
    </row>
    <row r="80" spans="3:7" ht="19.5" customHeight="1">
      <c r="C80" s="206"/>
      <c r="D80" s="206"/>
      <c r="E80" s="206"/>
      <c r="F80" s="206"/>
      <c r="G80" s="206"/>
    </row>
    <row r="81" spans="3:7" ht="19.5" customHeight="1">
      <c r="C81" s="206"/>
      <c r="D81" s="206"/>
      <c r="E81" s="206"/>
      <c r="F81" s="206"/>
      <c r="G81" s="206"/>
    </row>
    <row r="82" spans="3:7" ht="19.5" customHeight="1">
      <c r="C82" s="206"/>
      <c r="D82" s="206"/>
      <c r="E82" s="206"/>
      <c r="F82" s="206"/>
      <c r="G82" s="206"/>
    </row>
    <row r="83" spans="3:7" ht="19.5" customHeight="1">
      <c r="C83" s="206"/>
      <c r="D83" s="206"/>
      <c r="E83" s="206"/>
      <c r="F83" s="206"/>
      <c r="G83" s="206"/>
    </row>
    <row r="84" spans="3:7" ht="19.5" customHeight="1">
      <c r="C84" s="206"/>
      <c r="D84" s="206"/>
      <c r="E84" s="206"/>
      <c r="F84" s="206"/>
      <c r="G84" s="206"/>
    </row>
    <row r="85" spans="3:7" ht="19.5" customHeight="1">
      <c r="C85" s="206"/>
      <c r="D85" s="206"/>
      <c r="E85" s="206"/>
      <c r="F85" s="206"/>
      <c r="G85" s="206"/>
    </row>
    <row r="86" spans="3:7" ht="19.5" customHeight="1">
      <c r="C86" s="206"/>
      <c r="D86" s="206"/>
      <c r="E86" s="206"/>
      <c r="F86" s="206"/>
      <c r="G86" s="206"/>
    </row>
    <row r="87" spans="3:7" ht="19.5" customHeight="1">
      <c r="C87" s="206"/>
      <c r="D87" s="206"/>
      <c r="E87" s="206"/>
      <c r="F87" s="206"/>
      <c r="G87" s="206"/>
    </row>
    <row r="88" spans="3:7" ht="15.75">
      <c r="C88" s="206"/>
      <c r="D88" s="206"/>
      <c r="E88" s="206"/>
      <c r="F88" s="206"/>
      <c r="G88" s="206"/>
    </row>
    <row r="89" spans="3:7" ht="15.75">
      <c r="C89" s="206"/>
      <c r="D89" s="206"/>
      <c r="E89" s="206"/>
      <c r="F89" s="206"/>
      <c r="G89" s="206"/>
    </row>
    <row r="90" spans="3:7" ht="15.75">
      <c r="C90" s="206"/>
      <c r="D90" s="206"/>
      <c r="E90" s="206"/>
      <c r="F90" s="206"/>
      <c r="G90" s="206"/>
    </row>
    <row r="91" spans="3:7" ht="15.75">
      <c r="C91" s="206"/>
      <c r="D91" s="206"/>
      <c r="E91" s="206"/>
      <c r="F91" s="206"/>
      <c r="G91" s="206"/>
    </row>
    <row r="92" spans="3:7" ht="15.75">
      <c r="C92" s="206"/>
      <c r="D92" s="206"/>
      <c r="E92" s="206"/>
      <c r="F92" s="206"/>
      <c r="G92" s="206"/>
    </row>
    <row r="93" spans="3:7" ht="15.75">
      <c r="C93" s="206"/>
      <c r="D93" s="206"/>
      <c r="E93" s="206"/>
      <c r="F93" s="206"/>
      <c r="G93" s="206"/>
    </row>
    <row r="94" spans="3:7" ht="15.75">
      <c r="C94" s="206"/>
      <c r="D94" s="206"/>
      <c r="E94" s="206"/>
      <c r="F94" s="206"/>
      <c r="G94" s="206"/>
    </row>
    <row r="95" spans="3:7" ht="15.75">
      <c r="C95" s="206"/>
      <c r="D95" s="206"/>
      <c r="E95" s="206"/>
      <c r="F95" s="206"/>
      <c r="G95" s="206"/>
    </row>
    <row r="96" spans="3:7" ht="15.75">
      <c r="C96" s="206"/>
      <c r="D96" s="206"/>
      <c r="E96" s="206"/>
      <c r="F96" s="206"/>
      <c r="G96" s="206"/>
    </row>
    <row r="97" spans="3:7" ht="15.75">
      <c r="C97" s="206"/>
      <c r="D97" s="206"/>
      <c r="E97" s="206"/>
      <c r="F97" s="206"/>
      <c r="G97" s="206"/>
    </row>
    <row r="98" spans="3:7" ht="15.75">
      <c r="C98" s="206"/>
      <c r="D98" s="206"/>
      <c r="E98" s="206"/>
      <c r="F98" s="206"/>
      <c r="G98" s="206"/>
    </row>
    <row r="99" spans="3:7" ht="15.75">
      <c r="C99" s="206"/>
      <c r="D99" s="206"/>
      <c r="E99" s="206"/>
      <c r="F99" s="206"/>
      <c r="G99" s="206"/>
    </row>
    <row r="100" spans="3:7" ht="15.75">
      <c r="C100" s="206"/>
      <c r="D100" s="206"/>
      <c r="E100" s="206"/>
      <c r="F100" s="206"/>
      <c r="G100" s="206"/>
    </row>
    <row r="101" spans="3:7" ht="15.75">
      <c r="C101" s="206"/>
      <c r="D101" s="206"/>
      <c r="E101" s="206"/>
      <c r="F101" s="206"/>
      <c r="G101" s="206"/>
    </row>
    <row r="102" spans="3:7" ht="15.75">
      <c r="C102" s="206"/>
      <c r="D102" s="206"/>
      <c r="E102" s="206"/>
      <c r="F102" s="206"/>
      <c r="G102" s="206"/>
    </row>
    <row r="103" spans="3:7" ht="15.75">
      <c r="C103" s="206"/>
      <c r="D103" s="206"/>
      <c r="E103" s="206"/>
      <c r="F103" s="206"/>
      <c r="G103" s="206"/>
    </row>
  </sheetData>
  <sheetProtection/>
  <mergeCells count="15">
    <mergeCell ref="C6:C7"/>
    <mergeCell ref="D6:D7"/>
    <mergeCell ref="E6:E7"/>
    <mergeCell ref="F6:F7"/>
    <mergeCell ref="G6:G7"/>
    <mergeCell ref="H6:H7"/>
    <mergeCell ref="A1:B1"/>
    <mergeCell ref="I1:L1"/>
    <mergeCell ref="I2:L2"/>
    <mergeCell ref="I6:K6"/>
    <mergeCell ref="L6:L7"/>
    <mergeCell ref="A3:L3"/>
    <mergeCell ref="A4:L4"/>
    <mergeCell ref="A6:A7"/>
    <mergeCell ref="B6:B7"/>
  </mergeCells>
  <printOptions/>
  <pageMargins left="0.75" right="0.48" top="0.43" bottom="0.28" header="0.21" footer="0.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S23"/>
  <sheetViews>
    <sheetView zoomScalePageLayoutView="0" workbookViewId="0" topLeftCell="A1">
      <selection activeCell="A2" sqref="A2:P2"/>
    </sheetView>
  </sheetViews>
  <sheetFormatPr defaultColWidth="9.00390625" defaultRowHeight="15.75"/>
  <cols>
    <col min="1" max="1" width="4.75390625" style="82" customWidth="1"/>
    <col min="2" max="2" width="33.50390625" style="82" customWidth="1"/>
    <col min="3" max="3" width="8.00390625" style="82" customWidth="1"/>
    <col min="4" max="4" width="7.875" style="82" customWidth="1"/>
    <col min="5" max="5" width="7.50390625" style="82" customWidth="1"/>
    <col min="6" max="6" width="7.375" style="82" customWidth="1"/>
    <col min="7" max="7" width="6.875" style="82" customWidth="1"/>
    <col min="8" max="8" width="7.125" style="82" customWidth="1"/>
    <col min="9" max="9" width="7.00390625" style="82" customWidth="1"/>
    <col min="10" max="10" width="7.50390625" style="82" customWidth="1"/>
    <col min="11" max="11" width="9.00390625" style="82" customWidth="1"/>
    <col min="12" max="12" width="7.50390625" style="82" customWidth="1"/>
    <col min="13" max="13" width="9.00390625" style="82" customWidth="1"/>
    <col min="14" max="14" width="9.125" style="82" bestFit="1" customWidth="1"/>
    <col min="15" max="15" width="6.75390625" style="82" customWidth="1"/>
    <col min="16" max="16" width="7.375" style="82" customWidth="1"/>
    <col min="17" max="16384" width="9.00390625" style="82" customWidth="1"/>
  </cols>
  <sheetData>
    <row r="1" spans="1:16" ht="20.25" customHeight="1">
      <c r="A1" s="81" t="s">
        <v>118</v>
      </c>
      <c r="M1" s="242" t="s">
        <v>169</v>
      </c>
      <c r="N1" s="242"/>
      <c r="O1" s="242"/>
      <c r="P1" s="242"/>
    </row>
    <row r="2" spans="1:16" ht="23.25" customHeight="1">
      <c r="A2" s="243" t="s">
        <v>333</v>
      </c>
      <c r="B2" s="243"/>
      <c r="C2" s="243"/>
      <c r="D2" s="243"/>
      <c r="E2" s="243"/>
      <c r="F2" s="243"/>
      <c r="G2" s="243"/>
      <c r="H2" s="243"/>
      <c r="I2" s="243"/>
      <c r="J2" s="243"/>
      <c r="K2" s="243"/>
      <c r="L2" s="243"/>
      <c r="M2" s="243"/>
      <c r="N2" s="243"/>
      <c r="O2" s="243"/>
      <c r="P2" s="243"/>
    </row>
    <row r="3" spans="1:16" ht="16.5">
      <c r="A3" s="244" t="s">
        <v>0</v>
      </c>
      <c r="B3" s="244"/>
      <c r="C3" s="244"/>
      <c r="D3" s="244"/>
      <c r="E3" s="244"/>
      <c r="F3" s="244"/>
      <c r="G3" s="244"/>
      <c r="H3" s="244"/>
      <c r="I3" s="244"/>
      <c r="J3" s="244"/>
      <c r="K3" s="244"/>
      <c r="L3" s="244"/>
      <c r="M3" s="244"/>
      <c r="N3" s="244"/>
      <c r="O3" s="244"/>
      <c r="P3" s="244"/>
    </row>
    <row r="4" spans="13:16" ht="15.75">
      <c r="M4" s="245" t="s">
        <v>4</v>
      </c>
      <c r="N4" s="245"/>
      <c r="O4" s="245"/>
      <c r="P4" s="245"/>
    </row>
    <row r="5" spans="1:19" s="83" customFormat="1" ht="21" customHeight="1">
      <c r="A5" s="239" t="s">
        <v>1</v>
      </c>
      <c r="B5" s="239" t="s">
        <v>79</v>
      </c>
      <c r="C5" s="239" t="s">
        <v>80</v>
      </c>
      <c r="D5" s="239" t="s">
        <v>81</v>
      </c>
      <c r="E5" s="239"/>
      <c r="F5" s="239"/>
      <c r="G5" s="239"/>
      <c r="H5" s="239"/>
      <c r="I5" s="239"/>
      <c r="J5" s="239"/>
      <c r="K5" s="239"/>
      <c r="L5" s="239"/>
      <c r="M5" s="239"/>
      <c r="N5" s="239"/>
      <c r="O5" s="239"/>
      <c r="P5" s="239"/>
      <c r="Q5" s="21"/>
      <c r="R5" s="21"/>
      <c r="S5" s="21"/>
    </row>
    <row r="6" spans="1:19" s="83" customFormat="1" ht="27" customHeight="1">
      <c r="A6" s="239"/>
      <c r="B6" s="239"/>
      <c r="C6" s="239"/>
      <c r="D6" s="239" t="s">
        <v>82</v>
      </c>
      <c r="E6" s="239" t="s">
        <v>83</v>
      </c>
      <c r="F6" s="239" t="s">
        <v>84</v>
      </c>
      <c r="G6" s="239" t="s">
        <v>85</v>
      </c>
      <c r="H6" s="239" t="s">
        <v>86</v>
      </c>
      <c r="I6" s="239" t="s">
        <v>87</v>
      </c>
      <c r="J6" s="239" t="s">
        <v>88</v>
      </c>
      <c r="K6" s="239" t="s">
        <v>89</v>
      </c>
      <c r="L6" s="239" t="s">
        <v>81</v>
      </c>
      <c r="M6" s="239"/>
      <c r="N6" s="239" t="s">
        <v>91</v>
      </c>
      <c r="O6" s="240" t="s">
        <v>117</v>
      </c>
      <c r="P6" s="239" t="s">
        <v>92</v>
      </c>
      <c r="Q6" s="21"/>
      <c r="R6" s="21"/>
      <c r="S6" s="21"/>
    </row>
    <row r="7" spans="1:19" s="83" customFormat="1" ht="73.5" customHeight="1">
      <c r="A7" s="239"/>
      <c r="B7" s="239"/>
      <c r="C7" s="239"/>
      <c r="D7" s="239"/>
      <c r="E7" s="239"/>
      <c r="F7" s="239"/>
      <c r="G7" s="239"/>
      <c r="H7" s="239"/>
      <c r="I7" s="239"/>
      <c r="J7" s="239"/>
      <c r="K7" s="239"/>
      <c r="L7" s="22" t="s">
        <v>148</v>
      </c>
      <c r="M7" s="22" t="s">
        <v>90</v>
      </c>
      <c r="N7" s="239"/>
      <c r="O7" s="241"/>
      <c r="P7" s="239"/>
      <c r="Q7" s="21"/>
      <c r="R7" s="21"/>
      <c r="S7" s="21"/>
    </row>
    <row r="8" spans="1:16" ht="15.75">
      <c r="A8" s="84" t="s">
        <v>5</v>
      </c>
      <c r="B8" s="84" t="s">
        <v>21</v>
      </c>
      <c r="C8" s="84">
        <v>1</v>
      </c>
      <c r="D8" s="84">
        <v>2</v>
      </c>
      <c r="E8" s="84">
        <v>3</v>
      </c>
      <c r="F8" s="84">
        <v>4</v>
      </c>
      <c r="G8" s="84">
        <v>5</v>
      </c>
      <c r="H8" s="84">
        <v>6</v>
      </c>
      <c r="I8" s="84">
        <v>7</v>
      </c>
      <c r="J8" s="84">
        <v>8</v>
      </c>
      <c r="K8" s="84">
        <v>9</v>
      </c>
      <c r="L8" s="84">
        <v>10</v>
      </c>
      <c r="M8" s="84">
        <v>11</v>
      </c>
      <c r="N8" s="84">
        <v>12</v>
      </c>
      <c r="O8" s="84">
        <v>13</v>
      </c>
      <c r="P8" s="84">
        <v>14</v>
      </c>
    </row>
    <row r="9" spans="1:16" ht="25.5" customHeight="1">
      <c r="A9" s="85"/>
      <c r="B9" s="86" t="s">
        <v>80</v>
      </c>
      <c r="C9" s="87">
        <f>C10+C21</f>
        <v>28599.999999999996</v>
      </c>
      <c r="D9" s="87">
        <f aca="true" t="shared" si="0" ref="D9:P9">D10+D21</f>
        <v>4300</v>
      </c>
      <c r="E9" s="87">
        <f t="shared" si="0"/>
        <v>0</v>
      </c>
      <c r="F9" s="87">
        <f t="shared" si="0"/>
        <v>0</v>
      </c>
      <c r="G9" s="87">
        <f t="shared" si="0"/>
        <v>0</v>
      </c>
      <c r="H9" s="87">
        <f t="shared" si="0"/>
        <v>0</v>
      </c>
      <c r="I9" s="87">
        <f t="shared" si="0"/>
        <v>0</v>
      </c>
      <c r="J9" s="87">
        <f t="shared" si="0"/>
        <v>0</v>
      </c>
      <c r="K9" s="87">
        <f t="shared" si="0"/>
        <v>22299.999999999996</v>
      </c>
      <c r="L9" s="87">
        <f t="shared" si="0"/>
        <v>22299.999999999996</v>
      </c>
      <c r="M9" s="87">
        <f t="shared" si="0"/>
        <v>0</v>
      </c>
      <c r="N9" s="87">
        <f t="shared" si="0"/>
        <v>2000</v>
      </c>
      <c r="O9" s="87">
        <f t="shared" si="0"/>
        <v>0</v>
      </c>
      <c r="P9" s="87">
        <f t="shared" si="0"/>
        <v>0</v>
      </c>
    </row>
    <row r="10" spans="1:16" s="90" customFormat="1" ht="18.75" customHeight="1">
      <c r="A10" s="88" t="s">
        <v>12</v>
      </c>
      <c r="B10" s="89" t="s">
        <v>173</v>
      </c>
      <c r="C10" s="88">
        <f>SUM(C11:C20)</f>
        <v>27099.999999999996</v>
      </c>
      <c r="D10" s="88">
        <f aca="true" t="shared" si="1" ref="D10:P10">SUM(D11:D20)</f>
        <v>4300</v>
      </c>
      <c r="E10" s="88">
        <f t="shared" si="1"/>
        <v>0</v>
      </c>
      <c r="F10" s="88">
        <f t="shared" si="1"/>
        <v>0</v>
      </c>
      <c r="G10" s="88">
        <f t="shared" si="1"/>
        <v>0</v>
      </c>
      <c r="H10" s="88">
        <f t="shared" si="1"/>
        <v>0</v>
      </c>
      <c r="I10" s="88">
        <f t="shared" si="1"/>
        <v>0</v>
      </c>
      <c r="J10" s="88">
        <f t="shared" si="1"/>
        <v>0</v>
      </c>
      <c r="K10" s="88">
        <f t="shared" si="1"/>
        <v>22299.999999999996</v>
      </c>
      <c r="L10" s="88">
        <f t="shared" si="1"/>
        <v>22299.999999999996</v>
      </c>
      <c r="M10" s="88">
        <f t="shared" si="1"/>
        <v>0</v>
      </c>
      <c r="N10" s="88">
        <f t="shared" si="1"/>
        <v>500</v>
      </c>
      <c r="O10" s="88">
        <f t="shared" si="1"/>
        <v>0</v>
      </c>
      <c r="P10" s="88">
        <f t="shared" si="1"/>
        <v>0</v>
      </c>
    </row>
    <row r="11" spans="1:16" ht="56.25" customHeight="1">
      <c r="A11" s="85">
        <v>1</v>
      </c>
      <c r="B11" s="111" t="s">
        <v>229</v>
      </c>
      <c r="C11" s="85">
        <f>K11</f>
        <v>487.6479999999999</v>
      </c>
      <c r="D11" s="85"/>
      <c r="E11" s="85"/>
      <c r="F11" s="85"/>
      <c r="G11" s="85"/>
      <c r="H11" s="85"/>
      <c r="I11" s="85"/>
      <c r="J11" s="85"/>
      <c r="K11" s="85">
        <f>L11</f>
        <v>487.6479999999999</v>
      </c>
      <c r="L11" s="85">
        <v>487.6479999999999</v>
      </c>
      <c r="M11" s="85"/>
      <c r="N11" s="85"/>
      <c r="O11" s="85"/>
      <c r="P11" s="85"/>
    </row>
    <row r="12" spans="1:16" ht="31.5">
      <c r="A12" s="85">
        <v>2</v>
      </c>
      <c r="B12" s="111" t="s">
        <v>174</v>
      </c>
      <c r="C12" s="85">
        <f>K12</f>
        <v>4284.872799999997</v>
      </c>
      <c r="D12" s="85"/>
      <c r="E12" s="85"/>
      <c r="F12" s="85"/>
      <c r="G12" s="85"/>
      <c r="H12" s="85"/>
      <c r="I12" s="85"/>
      <c r="J12" s="85"/>
      <c r="K12" s="85">
        <f>L12</f>
        <v>4284.872799999997</v>
      </c>
      <c r="L12" s="85">
        <v>4284.872799999997</v>
      </c>
      <c r="M12" s="85"/>
      <c r="N12" s="85"/>
      <c r="O12" s="85"/>
      <c r="P12" s="85"/>
    </row>
    <row r="13" spans="1:16" ht="58.5" customHeight="1">
      <c r="A13" s="85">
        <v>3</v>
      </c>
      <c r="B13" s="111" t="s">
        <v>225</v>
      </c>
      <c r="C13" s="85">
        <f>K13</f>
        <v>5088.989879999999</v>
      </c>
      <c r="D13" s="85"/>
      <c r="E13" s="85"/>
      <c r="F13" s="85"/>
      <c r="G13" s="85"/>
      <c r="H13" s="85"/>
      <c r="I13" s="85"/>
      <c r="J13" s="85"/>
      <c r="K13" s="85">
        <f>L13</f>
        <v>5088.989879999999</v>
      </c>
      <c r="L13" s="85">
        <v>5088.989879999999</v>
      </c>
      <c r="M13" s="85"/>
      <c r="N13" s="85"/>
      <c r="O13" s="85"/>
      <c r="P13" s="85"/>
    </row>
    <row r="14" spans="1:16" ht="31.5">
      <c r="A14" s="85">
        <v>4</v>
      </c>
      <c r="B14" s="111" t="s">
        <v>226</v>
      </c>
      <c r="C14" s="85">
        <f>K14</f>
        <v>2238.48932</v>
      </c>
      <c r="D14" s="85"/>
      <c r="E14" s="85"/>
      <c r="F14" s="85"/>
      <c r="G14" s="85"/>
      <c r="H14" s="85"/>
      <c r="I14" s="85"/>
      <c r="J14" s="85"/>
      <c r="K14" s="85">
        <f>L14</f>
        <v>2238.48932</v>
      </c>
      <c r="L14" s="85">
        <v>2238.48932</v>
      </c>
      <c r="M14" s="85"/>
      <c r="N14" s="85"/>
      <c r="O14" s="85"/>
      <c r="P14" s="85"/>
    </row>
    <row r="15" spans="1:16" ht="45" customHeight="1">
      <c r="A15" s="85">
        <v>5</v>
      </c>
      <c r="B15" s="111" t="s">
        <v>228</v>
      </c>
      <c r="C15" s="85">
        <f>D15</f>
        <v>4000</v>
      </c>
      <c r="D15" s="85">
        <v>4000</v>
      </c>
      <c r="E15" s="85"/>
      <c r="F15" s="85"/>
      <c r="G15" s="85"/>
      <c r="H15" s="85"/>
      <c r="I15" s="85"/>
      <c r="J15" s="85"/>
      <c r="K15" s="85">
        <f>L15+M15</f>
        <v>0</v>
      </c>
      <c r="L15" s="85"/>
      <c r="M15" s="85"/>
      <c r="N15" s="85"/>
      <c r="O15" s="85"/>
      <c r="P15" s="85"/>
    </row>
    <row r="16" spans="1:16" ht="47.25">
      <c r="A16" s="85">
        <v>6</v>
      </c>
      <c r="B16" s="111" t="s">
        <v>332</v>
      </c>
      <c r="C16" s="85">
        <f>K16</f>
        <v>200</v>
      </c>
      <c r="D16" s="85"/>
      <c r="E16" s="85"/>
      <c r="F16" s="85"/>
      <c r="G16" s="85"/>
      <c r="H16" s="85"/>
      <c r="I16" s="85"/>
      <c r="J16" s="85"/>
      <c r="K16" s="85">
        <f>L16+M16</f>
        <v>200</v>
      </c>
      <c r="L16" s="85">
        <v>200</v>
      </c>
      <c r="M16" s="85"/>
      <c r="N16" s="85"/>
      <c r="O16" s="85"/>
      <c r="P16" s="85"/>
    </row>
    <row r="17" spans="1:16" ht="78.75">
      <c r="A17" s="85">
        <v>7</v>
      </c>
      <c r="B17" s="111" t="s">
        <v>336</v>
      </c>
      <c r="C17" s="85">
        <f>SUM(E17:N17)</f>
        <v>500</v>
      </c>
      <c r="D17" s="85"/>
      <c r="E17" s="85"/>
      <c r="F17" s="85"/>
      <c r="G17" s="85"/>
      <c r="H17" s="85"/>
      <c r="I17" s="85"/>
      <c r="J17" s="85"/>
      <c r="K17" s="85"/>
      <c r="L17" s="85"/>
      <c r="M17" s="85"/>
      <c r="N17" s="85">
        <v>500</v>
      </c>
      <c r="O17" s="85"/>
      <c r="P17" s="85"/>
    </row>
    <row r="18" spans="1:16" ht="31.5">
      <c r="A18" s="85">
        <v>8</v>
      </c>
      <c r="B18" s="111" t="s">
        <v>230</v>
      </c>
      <c r="C18" s="85">
        <f>K18</f>
        <v>5000</v>
      </c>
      <c r="D18" s="85"/>
      <c r="E18" s="85"/>
      <c r="F18" s="85"/>
      <c r="G18" s="85"/>
      <c r="H18" s="85"/>
      <c r="I18" s="85"/>
      <c r="J18" s="85"/>
      <c r="K18" s="85">
        <f>L18+M18</f>
        <v>5000</v>
      </c>
      <c r="L18" s="85">
        <v>5000</v>
      </c>
      <c r="M18" s="85"/>
      <c r="N18" s="85"/>
      <c r="O18" s="85"/>
      <c r="P18" s="85"/>
    </row>
    <row r="19" spans="1:16" ht="47.25">
      <c r="A19" s="85">
        <v>9</v>
      </c>
      <c r="B19" s="111" t="s">
        <v>227</v>
      </c>
      <c r="C19" s="85">
        <f>K19</f>
        <v>5000</v>
      </c>
      <c r="D19" s="85"/>
      <c r="E19" s="85"/>
      <c r="F19" s="85"/>
      <c r="G19" s="85"/>
      <c r="H19" s="85"/>
      <c r="I19" s="85"/>
      <c r="J19" s="85"/>
      <c r="K19" s="85">
        <f>L19+M19</f>
        <v>5000</v>
      </c>
      <c r="L19" s="85">
        <v>5000</v>
      </c>
      <c r="M19" s="85"/>
      <c r="N19" s="85"/>
      <c r="O19" s="85"/>
      <c r="P19" s="85"/>
    </row>
    <row r="20" spans="1:16" ht="31.5">
      <c r="A20" s="85">
        <v>10</v>
      </c>
      <c r="B20" s="111" t="s">
        <v>337</v>
      </c>
      <c r="C20" s="85">
        <f>D20</f>
        <v>300</v>
      </c>
      <c r="D20" s="85">
        <v>300</v>
      </c>
      <c r="E20" s="85"/>
      <c r="F20" s="85"/>
      <c r="G20" s="85"/>
      <c r="H20" s="85"/>
      <c r="I20" s="85"/>
      <c r="J20" s="85"/>
      <c r="K20" s="85"/>
      <c r="L20" s="85"/>
      <c r="M20" s="85"/>
      <c r="N20" s="85"/>
      <c r="O20" s="85"/>
      <c r="P20" s="85"/>
    </row>
    <row r="21" spans="1:16" s="90" customFormat="1" ht="31.5" customHeight="1">
      <c r="A21" s="88" t="s">
        <v>11</v>
      </c>
      <c r="B21" s="89" t="s">
        <v>334</v>
      </c>
      <c r="C21" s="88">
        <f>SUM(C22:C23)</f>
        <v>1500</v>
      </c>
      <c r="D21" s="88">
        <f aca="true" t="shared" si="2" ref="D21:P21">SUM(D22:D23)</f>
        <v>0</v>
      </c>
      <c r="E21" s="88">
        <f t="shared" si="2"/>
        <v>0</v>
      </c>
      <c r="F21" s="88">
        <f t="shared" si="2"/>
        <v>0</v>
      </c>
      <c r="G21" s="88">
        <f t="shared" si="2"/>
        <v>0</v>
      </c>
      <c r="H21" s="88">
        <f t="shared" si="2"/>
        <v>0</v>
      </c>
      <c r="I21" s="88">
        <f t="shared" si="2"/>
        <v>0</v>
      </c>
      <c r="J21" s="88">
        <f t="shared" si="2"/>
        <v>0</v>
      </c>
      <c r="K21" s="88">
        <f t="shared" si="2"/>
        <v>0</v>
      </c>
      <c r="L21" s="88">
        <f t="shared" si="2"/>
        <v>0</v>
      </c>
      <c r="M21" s="88">
        <f t="shared" si="2"/>
        <v>0</v>
      </c>
      <c r="N21" s="88">
        <f t="shared" si="2"/>
        <v>1500</v>
      </c>
      <c r="O21" s="88">
        <f t="shared" si="2"/>
        <v>0</v>
      </c>
      <c r="P21" s="88">
        <f t="shared" si="2"/>
        <v>0</v>
      </c>
    </row>
    <row r="22" spans="1:16" ht="31.5">
      <c r="A22" s="85">
        <v>1</v>
      </c>
      <c r="B22" s="112" t="s">
        <v>231</v>
      </c>
      <c r="C22" s="85">
        <f>SUM(D22:P22)</f>
        <v>1000</v>
      </c>
      <c r="D22" s="85"/>
      <c r="E22" s="85"/>
      <c r="F22" s="85"/>
      <c r="G22" s="85"/>
      <c r="H22" s="85"/>
      <c r="I22" s="85"/>
      <c r="J22" s="85"/>
      <c r="K22" s="85"/>
      <c r="L22" s="85"/>
      <c r="M22" s="85"/>
      <c r="N22" s="85">
        <v>1000</v>
      </c>
      <c r="O22" s="85"/>
      <c r="P22" s="85"/>
    </row>
    <row r="23" spans="1:16" ht="31.5">
      <c r="A23" s="85">
        <v>2</v>
      </c>
      <c r="B23" s="112" t="s">
        <v>335</v>
      </c>
      <c r="C23" s="85">
        <f>SUM(D23:P23)</f>
        <v>500</v>
      </c>
      <c r="D23" s="85"/>
      <c r="E23" s="85"/>
      <c r="F23" s="85"/>
      <c r="G23" s="85"/>
      <c r="H23" s="85"/>
      <c r="I23" s="85"/>
      <c r="J23" s="85"/>
      <c r="K23" s="85"/>
      <c r="L23" s="85"/>
      <c r="M23" s="85"/>
      <c r="N23" s="85">
        <v>500</v>
      </c>
      <c r="O23" s="85"/>
      <c r="P23" s="85"/>
    </row>
  </sheetData>
  <sheetProtection/>
  <mergeCells count="20">
    <mergeCell ref="M1:P1"/>
    <mergeCell ref="A2:P2"/>
    <mergeCell ref="A3:P3"/>
    <mergeCell ref="M4:P4"/>
    <mergeCell ref="A5:A7"/>
    <mergeCell ref="B5:B7"/>
    <mergeCell ref="C5:C7"/>
    <mergeCell ref="D5:P5"/>
    <mergeCell ref="D6:D7"/>
    <mergeCell ref="E6:E7"/>
    <mergeCell ref="L6:M6"/>
    <mergeCell ref="N6:N7"/>
    <mergeCell ref="O6:O7"/>
    <mergeCell ref="P6:P7"/>
    <mergeCell ref="F6:F7"/>
    <mergeCell ref="G6:G7"/>
    <mergeCell ref="H6:H7"/>
    <mergeCell ref="I6:I7"/>
    <mergeCell ref="J6:J7"/>
    <mergeCell ref="K6:K7"/>
  </mergeCells>
  <printOptions/>
  <pageMargins left="0.7" right="0.48" top="0.35" bottom="0.39" header="0.3" footer="0.3"/>
  <pageSetup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sheetPr>
    <tabColor rgb="FFFF0000"/>
  </sheetPr>
  <dimension ref="A1:Y68"/>
  <sheetViews>
    <sheetView zoomScalePageLayoutView="0" workbookViewId="0" topLeftCell="A1">
      <selection activeCell="A1" sqref="A1:IV16384"/>
    </sheetView>
  </sheetViews>
  <sheetFormatPr defaultColWidth="9.00390625" defaultRowHeight="15.75"/>
  <cols>
    <col min="1" max="1" width="4.625" style="139" customWidth="1"/>
    <col min="2" max="2" width="34.25390625" style="173" customWidth="1"/>
    <col min="3" max="3" width="34.25390625" style="173" hidden="1" customWidth="1"/>
    <col min="4" max="4" width="11.625" style="161" customWidth="1"/>
    <col min="5" max="5" width="9.125" style="161" customWidth="1"/>
    <col min="6" max="6" width="11.375" style="161" customWidth="1"/>
    <col min="7" max="7" width="10.50390625" style="139" bestFit="1" customWidth="1"/>
    <col min="8" max="8" width="8.75390625" style="139" customWidth="1"/>
    <col min="9" max="9" width="9.875" style="175" customWidth="1"/>
    <col min="10" max="10" width="9.75390625" style="139" customWidth="1"/>
    <col min="11" max="11" width="9.625" style="139" customWidth="1"/>
    <col min="12" max="13" width="7.75390625" style="139" customWidth="1"/>
    <col min="14" max="14" width="8.75390625" style="139" customWidth="1"/>
    <col min="15" max="15" width="8.25390625" style="139" customWidth="1"/>
    <col min="16" max="16" width="8.00390625" style="139" customWidth="1"/>
    <col min="17" max="24" width="9.375" style="139" customWidth="1"/>
    <col min="25" max="25" width="8.50390625" style="139" customWidth="1"/>
    <col min="26" max="16384" width="9.00390625" style="139" customWidth="1"/>
  </cols>
  <sheetData>
    <row r="1" spans="1:25" ht="24.75" customHeight="1">
      <c r="A1" s="132" t="s">
        <v>118</v>
      </c>
      <c r="B1" s="133"/>
      <c r="C1" s="133"/>
      <c r="D1" s="134"/>
      <c r="E1" s="135"/>
      <c r="F1" s="135"/>
      <c r="G1" s="136"/>
      <c r="H1" s="137"/>
      <c r="I1" s="138"/>
      <c r="K1" s="140"/>
      <c r="L1" s="141"/>
      <c r="M1" s="141"/>
      <c r="N1" s="141"/>
      <c r="O1" s="141"/>
      <c r="P1" s="141"/>
      <c r="Q1" s="141"/>
      <c r="R1" s="141"/>
      <c r="S1" s="141"/>
      <c r="T1" s="141"/>
      <c r="U1" s="141"/>
      <c r="V1" s="233" t="s">
        <v>94</v>
      </c>
      <c r="W1" s="233"/>
      <c r="X1" s="233"/>
      <c r="Y1" s="233"/>
    </row>
    <row r="2" spans="1:25" ht="30" customHeight="1">
      <c r="A2" s="246" t="s">
        <v>285</v>
      </c>
      <c r="B2" s="246"/>
      <c r="C2" s="246"/>
      <c r="D2" s="246"/>
      <c r="E2" s="246"/>
      <c r="F2" s="246"/>
      <c r="G2" s="246"/>
      <c r="H2" s="246"/>
      <c r="I2" s="246"/>
      <c r="J2" s="246"/>
      <c r="K2" s="246"/>
      <c r="L2" s="246"/>
      <c r="M2" s="246"/>
      <c r="N2" s="246"/>
      <c r="O2" s="246"/>
      <c r="P2" s="246"/>
      <c r="Q2" s="246"/>
      <c r="R2" s="246"/>
      <c r="S2" s="246"/>
      <c r="T2" s="246"/>
      <c r="U2" s="246"/>
      <c r="V2" s="246"/>
      <c r="W2" s="246"/>
      <c r="X2" s="246"/>
      <c r="Y2" s="246"/>
    </row>
    <row r="3" spans="2:25" ht="15.75">
      <c r="B3" s="142"/>
      <c r="C3" s="142"/>
      <c r="D3" s="143"/>
      <c r="E3" s="143"/>
      <c r="F3" s="143"/>
      <c r="G3" s="143"/>
      <c r="H3" s="143"/>
      <c r="I3" s="143"/>
      <c r="J3" s="143"/>
      <c r="K3" s="143"/>
      <c r="L3" s="143"/>
      <c r="M3" s="143"/>
      <c r="N3" s="143"/>
      <c r="O3" s="143"/>
      <c r="P3" s="247" t="s">
        <v>4</v>
      </c>
      <c r="Q3" s="247"/>
      <c r="R3" s="247"/>
      <c r="S3" s="247"/>
      <c r="T3" s="247"/>
      <c r="U3" s="247"/>
      <c r="V3" s="247"/>
      <c r="W3" s="247"/>
      <c r="X3" s="247"/>
      <c r="Y3" s="247"/>
    </row>
    <row r="4" spans="1:25" s="144" customFormat="1" ht="31.5" customHeight="1">
      <c r="A4" s="248" t="s">
        <v>286</v>
      </c>
      <c r="B4" s="248" t="s">
        <v>95</v>
      </c>
      <c r="C4" s="192"/>
      <c r="D4" s="248" t="s">
        <v>287</v>
      </c>
      <c r="E4" s="248" t="s">
        <v>288</v>
      </c>
      <c r="F4" s="248" t="s">
        <v>289</v>
      </c>
      <c r="G4" s="248" t="s">
        <v>290</v>
      </c>
      <c r="H4" s="248" t="s">
        <v>291</v>
      </c>
      <c r="I4" s="252" t="s">
        <v>292</v>
      </c>
      <c r="J4" s="250" t="s">
        <v>293</v>
      </c>
      <c r="K4" s="250" t="s">
        <v>294</v>
      </c>
      <c r="L4" s="250" t="s">
        <v>295</v>
      </c>
      <c r="M4" s="250" t="s">
        <v>296</v>
      </c>
      <c r="N4" s="250" t="s">
        <v>297</v>
      </c>
      <c r="O4" s="250" t="s">
        <v>298</v>
      </c>
      <c r="P4" s="250" t="s">
        <v>299</v>
      </c>
      <c r="Q4" s="250" t="s">
        <v>300</v>
      </c>
      <c r="R4" s="254" t="s">
        <v>301</v>
      </c>
      <c r="S4" s="255"/>
      <c r="T4" s="255"/>
      <c r="U4" s="256"/>
      <c r="V4" s="250" t="s">
        <v>302</v>
      </c>
      <c r="W4" s="254" t="s">
        <v>171</v>
      </c>
      <c r="X4" s="256"/>
      <c r="Y4" s="248" t="s">
        <v>303</v>
      </c>
    </row>
    <row r="5" spans="1:25" s="144" customFormat="1" ht="48.75" customHeight="1">
      <c r="A5" s="249"/>
      <c r="B5" s="249"/>
      <c r="C5" s="193"/>
      <c r="D5" s="249"/>
      <c r="E5" s="249"/>
      <c r="F5" s="249"/>
      <c r="G5" s="249"/>
      <c r="H5" s="249"/>
      <c r="I5" s="253"/>
      <c r="J5" s="251"/>
      <c r="K5" s="251"/>
      <c r="L5" s="251"/>
      <c r="M5" s="251"/>
      <c r="N5" s="251"/>
      <c r="O5" s="251"/>
      <c r="P5" s="251"/>
      <c r="Q5" s="251"/>
      <c r="R5" s="194" t="s">
        <v>304</v>
      </c>
      <c r="S5" s="194" t="s">
        <v>305</v>
      </c>
      <c r="T5" s="145" t="s">
        <v>306</v>
      </c>
      <c r="U5" s="145" t="s">
        <v>307</v>
      </c>
      <c r="V5" s="251"/>
      <c r="W5" s="194" t="s">
        <v>304</v>
      </c>
      <c r="X5" s="194" t="s">
        <v>308</v>
      </c>
      <c r="Y5" s="249"/>
    </row>
    <row r="6" spans="1:25" s="144" customFormat="1" ht="21.75" customHeight="1" hidden="1">
      <c r="A6" s="146" t="s">
        <v>5</v>
      </c>
      <c r="B6" s="147" t="s">
        <v>309</v>
      </c>
      <c r="C6" s="148"/>
      <c r="D6" s="149">
        <f>E6+F6</f>
        <v>426854</v>
      </c>
      <c r="E6" s="149">
        <v>73334</v>
      </c>
      <c r="F6" s="150">
        <f>SUM(G6:Y6)</f>
        <v>353520</v>
      </c>
      <c r="G6" s="151">
        <f>2660-124.4</f>
        <v>2535.6</v>
      </c>
      <c r="H6" s="152">
        <f>620-31</f>
        <v>589</v>
      </c>
      <c r="I6" s="153">
        <f>238991+4500-4302-33-16.7-14.5-146-22-21.6</f>
        <v>238935.19999999998</v>
      </c>
      <c r="J6" s="153">
        <v>9640</v>
      </c>
      <c r="K6" s="153">
        <f>2770-180-113</f>
        <v>2477</v>
      </c>
      <c r="L6" s="153">
        <f>750-63</f>
        <v>687</v>
      </c>
      <c r="M6" s="153">
        <f>520-31</f>
        <v>489</v>
      </c>
      <c r="N6" s="153">
        <f>37445-50</f>
        <v>37395</v>
      </c>
      <c r="O6" s="151">
        <f>15940-354-447.3-52</f>
        <v>15086.7</v>
      </c>
      <c r="P6" s="151">
        <v>8592</v>
      </c>
      <c r="Q6" s="153">
        <f>20887+2340+5880-1738.5</f>
        <v>27368.5</v>
      </c>
      <c r="R6" s="145"/>
      <c r="S6" s="145"/>
      <c r="T6" s="145"/>
      <c r="U6" s="145"/>
      <c r="V6" s="154">
        <f>124+31+4302+33+16.7+14.5+146+22+21.6+180+113+63+31+50+354+447.3+52+1738.9</f>
        <v>7740</v>
      </c>
      <c r="W6" s="145"/>
      <c r="X6" s="145"/>
      <c r="Y6" s="154">
        <f>1985</f>
        <v>1985</v>
      </c>
    </row>
    <row r="7" spans="1:25" s="158" customFormat="1" ht="26.25" customHeight="1">
      <c r="A7" s="155"/>
      <c r="B7" s="156" t="s">
        <v>310</v>
      </c>
      <c r="C7" s="157"/>
      <c r="D7" s="149">
        <f>D8+D45+D48+D55</f>
        <v>554108.7920000001</v>
      </c>
      <c r="E7" s="149">
        <f aca="true" t="shared" si="0" ref="E7:Y7">E8+E45+E48+E55</f>
        <v>33517</v>
      </c>
      <c r="F7" s="149">
        <f t="shared" si="0"/>
        <v>520591.7920000001</v>
      </c>
      <c r="G7" s="149">
        <f t="shared" si="0"/>
        <v>3990</v>
      </c>
      <c r="H7" s="149">
        <f t="shared" si="0"/>
        <v>744</v>
      </c>
      <c r="I7" s="149">
        <f t="shared" si="0"/>
        <v>322005</v>
      </c>
      <c r="J7" s="149">
        <f t="shared" si="0"/>
        <v>14896</v>
      </c>
      <c r="K7" s="149">
        <f t="shared" si="0"/>
        <v>1204</v>
      </c>
      <c r="L7" s="149">
        <f t="shared" si="0"/>
        <v>900</v>
      </c>
      <c r="M7" s="149">
        <f t="shared" si="0"/>
        <v>340</v>
      </c>
      <c r="N7" s="149">
        <f t="shared" si="0"/>
        <v>76032</v>
      </c>
      <c r="O7" s="149">
        <f t="shared" si="0"/>
        <v>21216</v>
      </c>
      <c r="P7" s="149">
        <f t="shared" si="0"/>
        <v>37072</v>
      </c>
      <c r="Q7" s="149">
        <f t="shared" si="0"/>
        <v>40038.092</v>
      </c>
      <c r="R7" s="149">
        <f t="shared" si="0"/>
        <v>3413</v>
      </c>
      <c r="S7" s="149">
        <f t="shared" si="0"/>
        <v>22965.092</v>
      </c>
      <c r="T7" s="149">
        <f t="shared" si="0"/>
        <v>13601</v>
      </c>
      <c r="U7" s="149">
        <f t="shared" si="0"/>
        <v>59</v>
      </c>
      <c r="V7" s="149">
        <f t="shared" si="0"/>
        <v>9458.300000000001</v>
      </c>
      <c r="W7" s="149">
        <f t="shared" si="0"/>
        <v>350.4000000000001</v>
      </c>
      <c r="X7" s="149">
        <f t="shared" si="0"/>
        <v>9107.9</v>
      </c>
      <c r="Y7" s="149">
        <f t="shared" si="0"/>
        <v>6620</v>
      </c>
    </row>
    <row r="8" spans="1:25" s="161" customFormat="1" ht="24.75" customHeight="1">
      <c r="A8" s="78" t="s">
        <v>12</v>
      </c>
      <c r="B8" s="79" t="s">
        <v>311</v>
      </c>
      <c r="C8" s="159"/>
      <c r="D8" s="160">
        <f>SUM(D9:D44)</f>
        <v>201168.70000000004</v>
      </c>
      <c r="E8" s="160">
        <f>SUM(E9:E44)</f>
        <v>2851</v>
      </c>
      <c r="F8" s="160">
        <f aca="true" t="shared" si="1" ref="F8:Y8">SUM(F9:F44)</f>
        <v>198317.70000000004</v>
      </c>
      <c r="G8" s="160">
        <f t="shared" si="1"/>
        <v>3990</v>
      </c>
      <c r="H8" s="160">
        <f t="shared" si="1"/>
        <v>744</v>
      </c>
      <c r="I8" s="160">
        <f t="shared" si="1"/>
        <v>6372</v>
      </c>
      <c r="J8" s="160">
        <f t="shared" si="1"/>
        <v>14896</v>
      </c>
      <c r="K8" s="160">
        <f t="shared" si="1"/>
        <v>1204</v>
      </c>
      <c r="L8" s="160">
        <f t="shared" si="1"/>
        <v>900</v>
      </c>
      <c r="M8" s="160">
        <f t="shared" si="1"/>
        <v>340</v>
      </c>
      <c r="N8" s="160">
        <f t="shared" si="1"/>
        <v>76032</v>
      </c>
      <c r="O8" s="160">
        <f t="shared" si="1"/>
        <v>21216</v>
      </c>
      <c r="P8" s="160">
        <f t="shared" si="1"/>
        <v>37072</v>
      </c>
      <c r="Q8" s="160">
        <f t="shared" si="1"/>
        <v>40017</v>
      </c>
      <c r="R8" s="160">
        <f t="shared" si="1"/>
        <v>3413</v>
      </c>
      <c r="S8" s="160">
        <f t="shared" si="1"/>
        <v>22944</v>
      </c>
      <c r="T8" s="160">
        <f t="shared" si="1"/>
        <v>13601</v>
      </c>
      <c r="U8" s="160">
        <f t="shared" si="1"/>
        <v>59</v>
      </c>
      <c r="V8" s="160">
        <f t="shared" si="1"/>
        <v>4465.300000000001</v>
      </c>
      <c r="W8" s="160">
        <f t="shared" si="1"/>
        <v>350.4000000000001</v>
      </c>
      <c r="X8" s="160">
        <f t="shared" si="1"/>
        <v>4114.9</v>
      </c>
      <c r="Y8" s="160">
        <f t="shared" si="1"/>
        <v>0</v>
      </c>
    </row>
    <row r="9" spans="1:25" ht="24.75" customHeight="1">
      <c r="A9" s="114">
        <v>1</v>
      </c>
      <c r="B9" s="115" t="s">
        <v>131</v>
      </c>
      <c r="C9" s="115"/>
      <c r="D9" s="162">
        <f>E9+F9</f>
        <v>4975.8</v>
      </c>
      <c r="E9" s="163"/>
      <c r="F9" s="162">
        <f>SUM(G9:U9)-Q9-V9</f>
        <v>4975.8</v>
      </c>
      <c r="G9" s="163"/>
      <c r="H9" s="163"/>
      <c r="I9" s="164"/>
      <c r="J9" s="163"/>
      <c r="K9" s="163"/>
      <c r="L9" s="163"/>
      <c r="M9" s="163"/>
      <c r="N9" s="163"/>
      <c r="O9" s="163"/>
      <c r="P9" s="163"/>
      <c r="Q9" s="163">
        <f>SUM(R9:U9)</f>
        <v>5254</v>
      </c>
      <c r="R9" s="163">
        <v>384</v>
      </c>
      <c r="S9" s="163">
        <v>2467</v>
      </c>
      <c r="T9" s="163">
        <v>2398</v>
      </c>
      <c r="U9" s="163">
        <v>5</v>
      </c>
      <c r="V9" s="163">
        <f>SUM(W9:X9)</f>
        <v>278.20000000000005</v>
      </c>
      <c r="W9" s="165">
        <f>R9*10%</f>
        <v>38.400000000000006</v>
      </c>
      <c r="X9" s="165">
        <f>T9*10%</f>
        <v>239.8</v>
      </c>
      <c r="Y9" s="163"/>
    </row>
    <row r="10" spans="1:25" ht="24.75" customHeight="1">
      <c r="A10" s="114">
        <v>2</v>
      </c>
      <c r="B10" s="115" t="s">
        <v>258</v>
      </c>
      <c r="C10" s="115"/>
      <c r="D10" s="162">
        <f aca="true" t="shared" si="2" ref="D10:D54">E10+F10</f>
        <v>1884.6</v>
      </c>
      <c r="E10" s="163"/>
      <c r="F10" s="162">
        <f aca="true" t="shared" si="3" ref="F10:F44">SUM(G10:U10)-Q10-V10</f>
        <v>1884.6</v>
      </c>
      <c r="G10" s="163"/>
      <c r="H10" s="163"/>
      <c r="I10" s="164"/>
      <c r="J10" s="163"/>
      <c r="K10" s="163"/>
      <c r="L10" s="163"/>
      <c r="M10" s="163"/>
      <c r="N10" s="163"/>
      <c r="O10" s="163"/>
      <c r="P10" s="163"/>
      <c r="Q10" s="163">
        <f aca="true" t="shared" si="4" ref="Q10:Q44">SUM(R10:U10)</f>
        <v>2028</v>
      </c>
      <c r="R10" s="163">
        <v>48</v>
      </c>
      <c r="S10" s="163">
        <v>594</v>
      </c>
      <c r="T10" s="163">
        <v>1386</v>
      </c>
      <c r="U10" s="163"/>
      <c r="V10" s="163">
        <f>SUM(W10:X10)</f>
        <v>143.4</v>
      </c>
      <c r="W10" s="165">
        <f>R10*10%</f>
        <v>4.800000000000001</v>
      </c>
      <c r="X10" s="165">
        <f aca="true" t="shared" si="5" ref="X10:X34">T10*10%</f>
        <v>138.6</v>
      </c>
      <c r="Y10" s="163"/>
    </row>
    <row r="11" spans="1:25" ht="24.75" customHeight="1">
      <c r="A11" s="114">
        <v>3</v>
      </c>
      <c r="B11" s="115" t="s">
        <v>259</v>
      </c>
      <c r="C11" s="115"/>
      <c r="D11" s="162">
        <f>E11+F11</f>
        <v>11121.6</v>
      </c>
      <c r="E11" s="163"/>
      <c r="F11" s="162">
        <f t="shared" si="3"/>
        <v>11121.6</v>
      </c>
      <c r="G11" s="163"/>
      <c r="H11" s="163"/>
      <c r="I11" s="164"/>
      <c r="J11" s="163"/>
      <c r="K11" s="163"/>
      <c r="L11" s="163"/>
      <c r="M11" s="163"/>
      <c r="N11" s="163"/>
      <c r="O11" s="163">
        <v>11894</v>
      </c>
      <c r="P11" s="163"/>
      <c r="Q11" s="163">
        <f t="shared" si="4"/>
        <v>425</v>
      </c>
      <c r="R11" s="163">
        <v>83</v>
      </c>
      <c r="S11" s="163">
        <v>339</v>
      </c>
      <c r="T11" s="163"/>
      <c r="U11" s="163">
        <v>3</v>
      </c>
      <c r="V11" s="163">
        <f aca="true" t="shared" si="6" ref="V11:V57">SUM(W11:X11)</f>
        <v>1197.4</v>
      </c>
      <c r="W11" s="165">
        <f>(R11-3)*10%</f>
        <v>8</v>
      </c>
      <c r="X11" s="165">
        <f>O11*10%</f>
        <v>1189.4</v>
      </c>
      <c r="Y11" s="163"/>
    </row>
    <row r="12" spans="1:25" ht="24.75" customHeight="1">
      <c r="A12" s="114">
        <v>4</v>
      </c>
      <c r="B12" s="115" t="s">
        <v>260</v>
      </c>
      <c r="C12" s="115"/>
      <c r="D12" s="162">
        <f t="shared" si="2"/>
        <v>1043.1</v>
      </c>
      <c r="E12" s="163"/>
      <c r="F12" s="162">
        <f>SUM(G12:U12)-Q12-V12</f>
        <v>1043.1</v>
      </c>
      <c r="G12" s="163"/>
      <c r="H12" s="163"/>
      <c r="I12" s="164"/>
      <c r="J12" s="163"/>
      <c r="K12" s="163"/>
      <c r="L12" s="163"/>
      <c r="M12" s="163"/>
      <c r="N12" s="163"/>
      <c r="O12" s="163"/>
      <c r="P12" s="163"/>
      <c r="Q12" s="163">
        <f t="shared" si="4"/>
        <v>1089</v>
      </c>
      <c r="R12" s="163">
        <v>112</v>
      </c>
      <c r="S12" s="163">
        <v>611</v>
      </c>
      <c r="T12" s="163">
        <v>363</v>
      </c>
      <c r="U12" s="163">
        <v>3</v>
      </c>
      <c r="V12" s="163">
        <f t="shared" si="6"/>
        <v>45.900000000000006</v>
      </c>
      <c r="W12" s="165">
        <f>(R12-16)*10%</f>
        <v>9.600000000000001</v>
      </c>
      <c r="X12" s="165">
        <f>(T12+I12)*10%</f>
        <v>36.300000000000004</v>
      </c>
      <c r="Y12" s="163"/>
    </row>
    <row r="13" spans="1:25" ht="24.75" customHeight="1">
      <c r="A13" s="114">
        <v>5</v>
      </c>
      <c r="B13" s="115" t="s">
        <v>132</v>
      </c>
      <c r="C13" s="115"/>
      <c r="D13" s="162">
        <f t="shared" si="2"/>
        <v>1398.6</v>
      </c>
      <c r="E13" s="163"/>
      <c r="F13" s="162">
        <f t="shared" si="3"/>
        <v>1398.6</v>
      </c>
      <c r="G13" s="163"/>
      <c r="H13" s="163"/>
      <c r="I13" s="164"/>
      <c r="J13" s="163"/>
      <c r="K13" s="163"/>
      <c r="L13" s="163"/>
      <c r="M13" s="163"/>
      <c r="N13" s="163"/>
      <c r="O13" s="163"/>
      <c r="P13" s="163"/>
      <c r="Q13" s="163">
        <f t="shared" si="4"/>
        <v>1413</v>
      </c>
      <c r="R13" s="163">
        <v>144</v>
      </c>
      <c r="S13" s="163">
        <v>1263</v>
      </c>
      <c r="T13" s="163"/>
      <c r="U13" s="163">
        <v>6</v>
      </c>
      <c r="V13" s="163">
        <f t="shared" si="6"/>
        <v>14.4</v>
      </c>
      <c r="W13" s="165">
        <f>R13*10%</f>
        <v>14.4</v>
      </c>
      <c r="X13" s="165">
        <f t="shared" si="5"/>
        <v>0</v>
      </c>
      <c r="Y13" s="163"/>
    </row>
    <row r="14" spans="1:25" ht="24.75" customHeight="1">
      <c r="A14" s="114">
        <v>6</v>
      </c>
      <c r="B14" s="130" t="s">
        <v>261</v>
      </c>
      <c r="C14" s="130"/>
      <c r="D14" s="162">
        <f t="shared" si="2"/>
        <v>2201.9</v>
      </c>
      <c r="E14" s="163"/>
      <c r="F14" s="162">
        <f t="shared" si="3"/>
        <v>2201.9</v>
      </c>
      <c r="G14" s="163"/>
      <c r="H14" s="163"/>
      <c r="I14" s="164"/>
      <c r="J14" s="163"/>
      <c r="K14" s="163"/>
      <c r="L14" s="163"/>
      <c r="M14" s="163"/>
      <c r="N14" s="163"/>
      <c r="O14" s="163"/>
      <c r="P14" s="163"/>
      <c r="Q14" s="163">
        <f t="shared" si="4"/>
        <v>2382</v>
      </c>
      <c r="R14" s="163">
        <f>96+2</f>
        <v>98</v>
      </c>
      <c r="S14" s="163">
        <v>576</v>
      </c>
      <c r="T14" s="163">
        <v>1705</v>
      </c>
      <c r="U14" s="163">
        <v>3</v>
      </c>
      <c r="V14" s="163">
        <f t="shared" si="6"/>
        <v>180.1</v>
      </c>
      <c r="W14" s="165">
        <f>(R14-2)*10%</f>
        <v>9.600000000000001</v>
      </c>
      <c r="X14" s="165">
        <f t="shared" si="5"/>
        <v>170.5</v>
      </c>
      <c r="Y14" s="163"/>
    </row>
    <row r="15" spans="1:25" ht="24.75" customHeight="1">
      <c r="A15" s="114">
        <v>7</v>
      </c>
      <c r="B15" s="130" t="s">
        <v>262</v>
      </c>
      <c r="C15" s="130"/>
      <c r="D15" s="162">
        <f t="shared" si="2"/>
        <v>97493</v>
      </c>
      <c r="E15" s="163">
        <f>537+1974</f>
        <v>2511</v>
      </c>
      <c r="F15" s="162">
        <f t="shared" si="3"/>
        <v>94982</v>
      </c>
      <c r="G15" s="163"/>
      <c r="H15" s="163"/>
      <c r="I15" s="164">
        <v>2500</v>
      </c>
      <c r="J15" s="163">
        <v>14896</v>
      </c>
      <c r="K15" s="163"/>
      <c r="L15" s="163"/>
      <c r="M15" s="163"/>
      <c r="N15" s="163">
        <v>76032</v>
      </c>
      <c r="O15" s="163"/>
      <c r="P15" s="163"/>
      <c r="Q15" s="163">
        <f t="shared" si="4"/>
        <v>1642</v>
      </c>
      <c r="R15" s="163">
        <f>112+1</f>
        <v>113</v>
      </c>
      <c r="S15" s="163">
        <v>758</v>
      </c>
      <c r="T15" s="163">
        <v>768</v>
      </c>
      <c r="U15" s="163">
        <v>3</v>
      </c>
      <c r="V15" s="163">
        <f t="shared" si="6"/>
        <v>88.00000000000001</v>
      </c>
      <c r="W15" s="165">
        <f>(R15-1)*10%</f>
        <v>11.200000000000001</v>
      </c>
      <c r="X15" s="165">
        <f>(T15)*10%</f>
        <v>76.80000000000001</v>
      </c>
      <c r="Y15" s="163"/>
    </row>
    <row r="16" spans="1:25" ht="24.75" customHeight="1">
      <c r="A16" s="114">
        <v>8</v>
      </c>
      <c r="B16" s="130" t="s">
        <v>133</v>
      </c>
      <c r="C16" s="130"/>
      <c r="D16" s="162">
        <f t="shared" si="2"/>
        <v>1191.1</v>
      </c>
      <c r="E16" s="163"/>
      <c r="F16" s="162">
        <f t="shared" si="3"/>
        <v>1191.1</v>
      </c>
      <c r="G16" s="163"/>
      <c r="H16" s="163"/>
      <c r="I16" s="164"/>
      <c r="J16" s="163"/>
      <c r="K16" s="163"/>
      <c r="L16" s="163"/>
      <c r="M16" s="163"/>
      <c r="N16" s="163"/>
      <c r="O16" s="163"/>
      <c r="P16" s="163"/>
      <c r="Q16" s="163">
        <f t="shared" si="4"/>
        <v>1235</v>
      </c>
      <c r="R16" s="163">
        <f>96+2</f>
        <v>98</v>
      </c>
      <c r="S16" s="163">
        <v>791</v>
      </c>
      <c r="T16" s="163">
        <v>343</v>
      </c>
      <c r="U16" s="163">
        <v>3</v>
      </c>
      <c r="V16" s="163">
        <f t="shared" si="6"/>
        <v>43.900000000000006</v>
      </c>
      <c r="W16" s="165">
        <f>(R16-2)*10%</f>
        <v>9.600000000000001</v>
      </c>
      <c r="X16" s="165">
        <f t="shared" si="5"/>
        <v>34.300000000000004</v>
      </c>
      <c r="Y16" s="163"/>
    </row>
    <row r="17" spans="1:25" ht="24.75" customHeight="1">
      <c r="A17" s="114">
        <v>9</v>
      </c>
      <c r="B17" s="130" t="s">
        <v>116</v>
      </c>
      <c r="C17" s="130"/>
      <c r="D17" s="162">
        <f t="shared" si="2"/>
        <v>722.7</v>
      </c>
      <c r="E17" s="163"/>
      <c r="F17" s="162">
        <f t="shared" si="3"/>
        <v>722.7</v>
      </c>
      <c r="G17" s="163"/>
      <c r="H17" s="163"/>
      <c r="I17" s="164"/>
      <c r="J17" s="163"/>
      <c r="K17" s="163"/>
      <c r="L17" s="163"/>
      <c r="M17" s="163"/>
      <c r="N17" s="163"/>
      <c r="O17" s="163"/>
      <c r="P17" s="163"/>
      <c r="Q17" s="163">
        <f t="shared" si="4"/>
        <v>762</v>
      </c>
      <c r="R17" s="163">
        <f>48+5</f>
        <v>53</v>
      </c>
      <c r="S17" s="163">
        <v>364</v>
      </c>
      <c r="T17" s="163">
        <v>345</v>
      </c>
      <c r="U17" s="163"/>
      <c r="V17" s="163">
        <f t="shared" si="6"/>
        <v>39.3</v>
      </c>
      <c r="W17" s="165">
        <f>(R17-5)*10%</f>
        <v>4.800000000000001</v>
      </c>
      <c r="X17" s="165">
        <f t="shared" si="5"/>
        <v>34.5</v>
      </c>
      <c r="Y17" s="163"/>
    </row>
    <row r="18" spans="1:25" ht="24.75" customHeight="1">
      <c r="A18" s="114">
        <v>10</v>
      </c>
      <c r="B18" s="130" t="s">
        <v>134</v>
      </c>
      <c r="C18" s="130"/>
      <c r="D18" s="162">
        <f t="shared" si="2"/>
        <v>5559.8</v>
      </c>
      <c r="E18" s="163">
        <v>340</v>
      </c>
      <c r="F18" s="162">
        <f t="shared" si="3"/>
        <v>5219.8</v>
      </c>
      <c r="G18" s="163"/>
      <c r="H18" s="163"/>
      <c r="I18" s="164"/>
      <c r="J18" s="163"/>
      <c r="K18" s="163"/>
      <c r="L18" s="163"/>
      <c r="M18" s="163"/>
      <c r="N18" s="163"/>
      <c r="O18" s="163">
        <v>4750</v>
      </c>
      <c r="P18" s="163"/>
      <c r="Q18" s="163">
        <f t="shared" si="4"/>
        <v>975</v>
      </c>
      <c r="R18" s="163">
        <v>112</v>
      </c>
      <c r="S18" s="163">
        <v>670</v>
      </c>
      <c r="T18" s="163">
        <v>190</v>
      </c>
      <c r="U18" s="163">
        <v>3</v>
      </c>
      <c r="V18" s="163">
        <f t="shared" si="6"/>
        <v>505.2</v>
      </c>
      <c r="W18" s="165">
        <f>R18*10%</f>
        <v>11.200000000000001</v>
      </c>
      <c r="X18" s="165">
        <f>(O18+T18)*10%</f>
        <v>494</v>
      </c>
      <c r="Y18" s="163"/>
    </row>
    <row r="19" spans="1:25" ht="24.75" customHeight="1">
      <c r="A19" s="114">
        <v>11</v>
      </c>
      <c r="B19" s="130" t="s">
        <v>263</v>
      </c>
      <c r="C19" s="130"/>
      <c r="D19" s="162">
        <f t="shared" si="2"/>
        <v>546.7</v>
      </c>
      <c r="E19" s="163"/>
      <c r="F19" s="162">
        <f t="shared" si="3"/>
        <v>546.7</v>
      </c>
      <c r="G19" s="163"/>
      <c r="H19" s="163"/>
      <c r="I19" s="164"/>
      <c r="J19" s="163"/>
      <c r="K19" s="163"/>
      <c r="L19" s="163"/>
      <c r="M19" s="163"/>
      <c r="N19" s="163"/>
      <c r="O19" s="163"/>
      <c r="P19" s="163"/>
      <c r="Q19" s="163">
        <f t="shared" si="4"/>
        <v>566</v>
      </c>
      <c r="R19" s="163">
        <f>48+5</f>
        <v>53</v>
      </c>
      <c r="S19" s="163">
        <v>365</v>
      </c>
      <c r="T19" s="163">
        <v>145</v>
      </c>
      <c r="U19" s="163">
        <v>3</v>
      </c>
      <c r="V19" s="163">
        <f t="shared" si="6"/>
        <v>19.3</v>
      </c>
      <c r="W19" s="165">
        <f>(R19-5)*10%</f>
        <v>4.800000000000001</v>
      </c>
      <c r="X19" s="165">
        <f t="shared" si="5"/>
        <v>14.5</v>
      </c>
      <c r="Y19" s="163"/>
    </row>
    <row r="20" spans="1:25" ht="24.75" customHeight="1">
      <c r="A20" s="114">
        <v>12</v>
      </c>
      <c r="B20" s="115" t="s">
        <v>264</v>
      </c>
      <c r="C20" s="115"/>
      <c r="D20" s="162">
        <f t="shared" si="2"/>
        <v>41414.9</v>
      </c>
      <c r="E20" s="163"/>
      <c r="F20" s="162">
        <f t="shared" si="3"/>
        <v>41414.9</v>
      </c>
      <c r="G20" s="163"/>
      <c r="H20" s="163"/>
      <c r="I20" s="164"/>
      <c r="J20" s="163"/>
      <c r="K20" s="163"/>
      <c r="L20" s="163"/>
      <c r="M20" s="163"/>
      <c r="N20" s="163"/>
      <c r="O20" s="163">
        <v>4000</v>
      </c>
      <c r="P20" s="163">
        <v>37072</v>
      </c>
      <c r="Q20" s="163">
        <f t="shared" si="4"/>
        <v>774</v>
      </c>
      <c r="R20" s="163">
        <f>80+3</f>
        <v>83</v>
      </c>
      <c r="S20" s="163">
        <v>534</v>
      </c>
      <c r="T20" s="163">
        <v>154</v>
      </c>
      <c r="U20" s="163">
        <v>3</v>
      </c>
      <c r="V20" s="163">
        <f t="shared" si="6"/>
        <v>431.1</v>
      </c>
      <c r="W20" s="165">
        <f>(R20-3)*10%</f>
        <v>8</v>
      </c>
      <c r="X20" s="165">
        <f>(T20+77+O20)*10%</f>
        <v>423.1</v>
      </c>
      <c r="Y20" s="163"/>
    </row>
    <row r="21" spans="1:25" ht="24.75" customHeight="1">
      <c r="A21" s="114">
        <v>13</v>
      </c>
      <c r="B21" s="115" t="s">
        <v>135</v>
      </c>
      <c r="C21" s="115"/>
      <c r="D21" s="162">
        <f t="shared" si="2"/>
        <v>2340</v>
      </c>
      <c r="E21" s="163"/>
      <c r="F21" s="162">
        <f t="shared" si="3"/>
        <v>2340</v>
      </c>
      <c r="G21" s="163"/>
      <c r="H21" s="163"/>
      <c r="I21" s="164"/>
      <c r="J21" s="163"/>
      <c r="K21" s="163"/>
      <c r="L21" s="163"/>
      <c r="M21" s="163"/>
      <c r="N21" s="163"/>
      <c r="O21" s="163"/>
      <c r="P21" s="163"/>
      <c r="Q21" s="163">
        <f t="shared" si="4"/>
        <v>2535</v>
      </c>
      <c r="R21" s="163">
        <f>80+3</f>
        <v>83</v>
      </c>
      <c r="S21" s="163">
        <v>577</v>
      </c>
      <c r="T21" s="163">
        <v>1870</v>
      </c>
      <c r="U21" s="163">
        <v>5</v>
      </c>
      <c r="V21" s="163">
        <f t="shared" si="6"/>
        <v>195</v>
      </c>
      <c r="W21" s="165">
        <f>(R21-3)*10%</f>
        <v>8</v>
      </c>
      <c r="X21" s="165">
        <f>T21*10%</f>
        <v>187</v>
      </c>
      <c r="Y21" s="163"/>
    </row>
    <row r="22" spans="1:25" ht="24.75" customHeight="1">
      <c r="A22" s="114">
        <v>14</v>
      </c>
      <c r="B22" s="115" t="s">
        <v>136</v>
      </c>
      <c r="C22" s="115"/>
      <c r="D22" s="162">
        <f t="shared" si="2"/>
        <v>6750.4</v>
      </c>
      <c r="E22" s="163"/>
      <c r="F22" s="162">
        <f t="shared" si="3"/>
        <v>6750.4</v>
      </c>
      <c r="G22" s="163"/>
      <c r="H22" s="163"/>
      <c r="I22" s="164"/>
      <c r="J22" s="163"/>
      <c r="K22" s="163"/>
      <c r="L22" s="163"/>
      <c r="M22" s="163"/>
      <c r="N22" s="163"/>
      <c r="O22" s="163"/>
      <c r="P22" s="163"/>
      <c r="Q22" s="163">
        <f t="shared" si="4"/>
        <v>7036</v>
      </c>
      <c r="R22" s="163">
        <v>480</v>
      </c>
      <c r="S22" s="163">
        <v>4175</v>
      </c>
      <c r="T22" s="163">
        <v>2376</v>
      </c>
      <c r="U22" s="163">
        <v>5</v>
      </c>
      <c r="V22" s="163">
        <f t="shared" si="6"/>
        <v>285.6</v>
      </c>
      <c r="W22" s="165">
        <f>R22*10%</f>
        <v>48</v>
      </c>
      <c r="X22" s="165">
        <f t="shared" si="5"/>
        <v>237.60000000000002</v>
      </c>
      <c r="Y22" s="163"/>
    </row>
    <row r="23" spans="1:25" ht="24.75" customHeight="1">
      <c r="A23" s="114">
        <v>15</v>
      </c>
      <c r="B23" s="115" t="s">
        <v>265</v>
      </c>
      <c r="C23" s="115"/>
      <c r="D23" s="162">
        <f t="shared" si="2"/>
        <v>1808.6</v>
      </c>
      <c r="E23" s="163"/>
      <c r="F23" s="162">
        <f t="shared" si="3"/>
        <v>1808.6</v>
      </c>
      <c r="G23" s="163"/>
      <c r="H23" s="163"/>
      <c r="I23" s="164">
        <v>1600</v>
      </c>
      <c r="J23" s="163"/>
      <c r="K23" s="163"/>
      <c r="L23" s="163"/>
      <c r="M23" s="163"/>
      <c r="N23" s="163"/>
      <c r="O23" s="163"/>
      <c r="P23" s="163"/>
      <c r="Q23" s="163">
        <f t="shared" si="4"/>
        <v>375</v>
      </c>
      <c r="R23" s="163">
        <v>68</v>
      </c>
      <c r="S23" s="163">
        <v>307</v>
      </c>
      <c r="T23" s="163"/>
      <c r="U23" s="163"/>
      <c r="V23" s="163">
        <f>SUM(W23:X23)</f>
        <v>166.4</v>
      </c>
      <c r="W23" s="165">
        <f>(R23-4)*10%</f>
        <v>6.4</v>
      </c>
      <c r="X23" s="165">
        <f>I23*10%</f>
        <v>160</v>
      </c>
      <c r="Y23" s="163"/>
    </row>
    <row r="24" spans="1:25" ht="24.75" customHeight="1">
      <c r="A24" s="114">
        <v>16</v>
      </c>
      <c r="B24" s="115" t="s">
        <v>266</v>
      </c>
      <c r="C24" s="115"/>
      <c r="D24" s="162">
        <f t="shared" si="2"/>
        <v>670.7</v>
      </c>
      <c r="E24" s="163"/>
      <c r="F24" s="162">
        <f t="shared" si="3"/>
        <v>670.7</v>
      </c>
      <c r="G24" s="163"/>
      <c r="H24" s="163"/>
      <c r="I24" s="164"/>
      <c r="J24" s="163"/>
      <c r="K24" s="163"/>
      <c r="L24" s="163"/>
      <c r="M24" s="163"/>
      <c r="N24" s="163"/>
      <c r="O24" s="163"/>
      <c r="P24" s="163"/>
      <c r="Q24" s="163">
        <f t="shared" si="4"/>
        <v>709</v>
      </c>
      <c r="R24" s="163">
        <v>53</v>
      </c>
      <c r="S24" s="163">
        <v>316</v>
      </c>
      <c r="T24" s="163">
        <v>335</v>
      </c>
      <c r="U24" s="163">
        <v>5</v>
      </c>
      <c r="V24" s="163">
        <f t="shared" si="6"/>
        <v>38.3</v>
      </c>
      <c r="W24" s="165">
        <f>(R24-5)*10%</f>
        <v>4.800000000000001</v>
      </c>
      <c r="X24" s="165">
        <f t="shared" si="5"/>
        <v>33.5</v>
      </c>
      <c r="Y24" s="163"/>
    </row>
    <row r="25" spans="1:25" ht="24.75" customHeight="1">
      <c r="A25" s="114">
        <v>17</v>
      </c>
      <c r="B25" s="115" t="s">
        <v>267</v>
      </c>
      <c r="C25" s="115"/>
      <c r="D25" s="162">
        <f t="shared" si="2"/>
        <v>710.6</v>
      </c>
      <c r="E25" s="163"/>
      <c r="F25" s="162">
        <f t="shared" si="3"/>
        <v>710.6</v>
      </c>
      <c r="G25" s="163"/>
      <c r="H25" s="163"/>
      <c r="I25" s="164"/>
      <c r="J25" s="163"/>
      <c r="K25" s="163"/>
      <c r="L25" s="163"/>
      <c r="M25" s="163"/>
      <c r="N25" s="163"/>
      <c r="O25" s="163"/>
      <c r="P25" s="163"/>
      <c r="Q25" s="163">
        <f t="shared" si="4"/>
        <v>737</v>
      </c>
      <c r="R25" s="163">
        <f>64+4</f>
        <v>68</v>
      </c>
      <c r="S25" s="163">
        <v>469</v>
      </c>
      <c r="T25" s="163">
        <v>200</v>
      </c>
      <c r="U25" s="163"/>
      <c r="V25" s="163">
        <f t="shared" si="6"/>
        <v>26.4</v>
      </c>
      <c r="W25" s="165">
        <f>(R25-4)*10%</f>
        <v>6.4</v>
      </c>
      <c r="X25" s="165">
        <f t="shared" si="5"/>
        <v>20</v>
      </c>
      <c r="Y25" s="163"/>
    </row>
    <row r="26" spans="1:25" ht="24.75" customHeight="1">
      <c r="A26" s="114">
        <v>18</v>
      </c>
      <c r="B26" s="115" t="s">
        <v>137</v>
      </c>
      <c r="C26" s="115"/>
      <c r="D26" s="162">
        <f>E26+F26</f>
        <v>612.7</v>
      </c>
      <c r="E26" s="163"/>
      <c r="F26" s="162">
        <f t="shared" si="3"/>
        <v>612.7</v>
      </c>
      <c r="G26" s="163"/>
      <c r="H26" s="163"/>
      <c r="I26" s="164"/>
      <c r="J26" s="163"/>
      <c r="K26" s="163"/>
      <c r="L26" s="163"/>
      <c r="M26" s="163"/>
      <c r="N26" s="163"/>
      <c r="O26" s="163"/>
      <c r="P26" s="163"/>
      <c r="Q26" s="163">
        <f t="shared" si="4"/>
        <v>638</v>
      </c>
      <c r="R26" s="163">
        <f>48+5</f>
        <v>53</v>
      </c>
      <c r="S26" s="163">
        <v>380</v>
      </c>
      <c r="T26" s="163">
        <v>205</v>
      </c>
      <c r="U26" s="163"/>
      <c r="V26" s="163">
        <f t="shared" si="6"/>
        <v>25.3</v>
      </c>
      <c r="W26" s="165">
        <f>(R26-5)*10%</f>
        <v>4.800000000000001</v>
      </c>
      <c r="X26" s="165">
        <f t="shared" si="5"/>
        <v>20.5</v>
      </c>
      <c r="Y26" s="163"/>
    </row>
    <row r="27" spans="1:25" ht="24.75" customHeight="1">
      <c r="A27" s="114">
        <v>19</v>
      </c>
      <c r="B27" s="115" t="s">
        <v>268</v>
      </c>
      <c r="C27" s="115"/>
      <c r="D27" s="162">
        <f t="shared" si="2"/>
        <v>1046.7</v>
      </c>
      <c r="E27" s="163"/>
      <c r="F27" s="162">
        <f t="shared" si="3"/>
        <v>1046.7</v>
      </c>
      <c r="G27" s="163"/>
      <c r="H27" s="163"/>
      <c r="I27" s="164"/>
      <c r="J27" s="163"/>
      <c r="K27" s="163"/>
      <c r="L27" s="163"/>
      <c r="M27" s="163"/>
      <c r="N27" s="163"/>
      <c r="O27" s="163"/>
      <c r="P27" s="163"/>
      <c r="Q27" s="163">
        <f t="shared" si="4"/>
        <v>1071</v>
      </c>
      <c r="R27" s="163">
        <f>48+5</f>
        <v>53</v>
      </c>
      <c r="S27" s="163">
        <v>466</v>
      </c>
      <c r="T27" s="163">
        <f>195+357</f>
        <v>552</v>
      </c>
      <c r="U27" s="163"/>
      <c r="V27" s="163">
        <f t="shared" si="6"/>
        <v>24.3</v>
      </c>
      <c r="W27" s="165">
        <f>(R27-5)*10%</f>
        <v>4.800000000000001</v>
      </c>
      <c r="X27" s="165">
        <f>(T27-357)*10%</f>
        <v>19.5</v>
      </c>
      <c r="Y27" s="163"/>
    </row>
    <row r="28" spans="1:25" ht="24.75" customHeight="1">
      <c r="A28" s="114">
        <v>20</v>
      </c>
      <c r="B28" s="115" t="s">
        <v>269</v>
      </c>
      <c r="C28" s="115"/>
      <c r="D28" s="162">
        <f t="shared" si="2"/>
        <v>428.2</v>
      </c>
      <c r="E28" s="163"/>
      <c r="F28" s="162">
        <f t="shared" si="3"/>
        <v>428.2</v>
      </c>
      <c r="G28" s="163"/>
      <c r="H28" s="163"/>
      <c r="I28" s="164"/>
      <c r="J28" s="163"/>
      <c r="K28" s="163"/>
      <c r="L28" s="163"/>
      <c r="M28" s="163"/>
      <c r="N28" s="163"/>
      <c r="O28" s="163"/>
      <c r="P28" s="163"/>
      <c r="Q28" s="163">
        <f t="shared" si="4"/>
        <v>441</v>
      </c>
      <c r="R28" s="163">
        <f>48+5</f>
        <v>53</v>
      </c>
      <c r="S28" s="163">
        <v>308</v>
      </c>
      <c r="T28" s="163">
        <v>80</v>
      </c>
      <c r="U28" s="163"/>
      <c r="V28" s="163">
        <f t="shared" si="6"/>
        <v>12.8</v>
      </c>
      <c r="W28" s="165">
        <f>(R28-5)*10%</f>
        <v>4.800000000000001</v>
      </c>
      <c r="X28" s="165">
        <f t="shared" si="5"/>
        <v>8</v>
      </c>
      <c r="Y28" s="163"/>
    </row>
    <row r="29" spans="1:25" ht="24.75" customHeight="1">
      <c r="A29" s="114">
        <v>21</v>
      </c>
      <c r="B29" s="115" t="s">
        <v>138</v>
      </c>
      <c r="C29" s="115"/>
      <c r="D29" s="162">
        <f t="shared" si="2"/>
        <v>4481.4</v>
      </c>
      <c r="E29" s="163"/>
      <c r="F29" s="162">
        <f>SUM(G29:U29)-Q29-V29</f>
        <v>4481.4</v>
      </c>
      <c r="G29" s="163"/>
      <c r="H29" s="163"/>
      <c r="I29" s="164">
        <f>2000+242</f>
        <v>2242</v>
      </c>
      <c r="J29" s="163"/>
      <c r="K29" s="163"/>
      <c r="L29" s="163"/>
      <c r="M29" s="163"/>
      <c r="N29" s="163"/>
      <c r="O29" s="163"/>
      <c r="P29" s="163"/>
      <c r="Q29" s="163">
        <f t="shared" si="4"/>
        <v>2302</v>
      </c>
      <c r="R29" s="163">
        <v>225</v>
      </c>
      <c r="S29" s="163">
        <v>2073</v>
      </c>
      <c r="T29" s="163"/>
      <c r="U29" s="163">
        <v>4</v>
      </c>
      <c r="V29" s="163">
        <f>SUM(W29:X29)</f>
        <v>62.599999999999994</v>
      </c>
      <c r="W29" s="165">
        <v>38.4</v>
      </c>
      <c r="X29" s="165">
        <v>24.2</v>
      </c>
      <c r="Y29" s="163"/>
    </row>
    <row r="30" spans="1:25" ht="24.75" customHeight="1">
      <c r="A30" s="114">
        <v>22</v>
      </c>
      <c r="B30" s="115" t="s">
        <v>271</v>
      </c>
      <c r="C30" s="115"/>
      <c r="D30" s="162">
        <f t="shared" si="2"/>
        <v>4022</v>
      </c>
      <c r="E30" s="163"/>
      <c r="F30" s="162">
        <f t="shared" si="3"/>
        <v>4022</v>
      </c>
      <c r="G30" s="163"/>
      <c r="H30" s="163"/>
      <c r="I30" s="164"/>
      <c r="J30" s="163"/>
      <c r="K30" s="163">
        <v>1204</v>
      </c>
      <c r="L30" s="163">
        <v>900</v>
      </c>
      <c r="M30" s="163">
        <v>340</v>
      </c>
      <c r="N30" s="163"/>
      <c r="O30" s="163"/>
      <c r="P30" s="163"/>
      <c r="Q30" s="163">
        <f t="shared" si="4"/>
        <v>1856</v>
      </c>
      <c r="R30" s="163">
        <f>176+160</f>
        <v>336</v>
      </c>
      <c r="S30" s="163">
        <f>679+841</f>
        <v>1520</v>
      </c>
      <c r="T30" s="163"/>
      <c r="U30" s="163"/>
      <c r="V30" s="163">
        <f t="shared" si="6"/>
        <v>278</v>
      </c>
      <c r="W30" s="165">
        <f aca="true" t="shared" si="7" ref="W30:W37">R30*10%</f>
        <v>33.6</v>
      </c>
      <c r="X30" s="165">
        <f>(L30+K30+M30)*10%</f>
        <v>244.4</v>
      </c>
      <c r="Y30" s="163"/>
    </row>
    <row r="31" spans="1:25" ht="24.75" customHeight="1">
      <c r="A31" s="114">
        <v>23</v>
      </c>
      <c r="B31" s="115" t="s">
        <v>272</v>
      </c>
      <c r="C31" s="115"/>
      <c r="D31" s="162">
        <f t="shared" si="2"/>
        <v>3308</v>
      </c>
      <c r="E31" s="163"/>
      <c r="F31" s="162">
        <f t="shared" si="3"/>
        <v>3308</v>
      </c>
      <c r="G31" s="163"/>
      <c r="H31" s="163"/>
      <c r="I31" s="164"/>
      <c r="J31" s="163"/>
      <c r="K31" s="163"/>
      <c r="L31" s="163"/>
      <c r="M31" s="163"/>
      <c r="N31" s="163"/>
      <c r="O31" s="163">
        <v>572</v>
      </c>
      <c r="P31" s="163"/>
      <c r="Q31" s="163">
        <f t="shared" si="4"/>
        <v>2838</v>
      </c>
      <c r="R31" s="163">
        <v>448</v>
      </c>
      <c r="S31" s="163">
        <v>2385</v>
      </c>
      <c r="T31" s="163"/>
      <c r="U31" s="163">
        <v>5</v>
      </c>
      <c r="V31" s="163">
        <f t="shared" si="6"/>
        <v>102</v>
      </c>
      <c r="W31" s="165">
        <f t="shared" si="7"/>
        <v>44.800000000000004</v>
      </c>
      <c r="X31" s="165">
        <f>O31*10%</f>
        <v>57.2</v>
      </c>
      <c r="Y31" s="163"/>
    </row>
    <row r="32" spans="1:25" ht="24.75" customHeight="1">
      <c r="A32" s="114">
        <v>24</v>
      </c>
      <c r="B32" s="115" t="s">
        <v>139</v>
      </c>
      <c r="C32" s="115"/>
      <c r="D32" s="162">
        <f t="shared" si="2"/>
        <v>325.1</v>
      </c>
      <c r="E32" s="163"/>
      <c r="F32" s="162">
        <f t="shared" si="3"/>
        <v>325.1</v>
      </c>
      <c r="G32" s="163"/>
      <c r="H32" s="163"/>
      <c r="I32" s="164"/>
      <c r="J32" s="163"/>
      <c r="K32" s="163"/>
      <c r="L32" s="163"/>
      <c r="M32" s="163"/>
      <c r="N32" s="163"/>
      <c r="O32" s="163"/>
      <c r="P32" s="163"/>
      <c r="Q32" s="163">
        <f t="shared" si="4"/>
        <v>337</v>
      </c>
      <c r="R32" s="163">
        <v>64</v>
      </c>
      <c r="S32" s="163">
        <v>218</v>
      </c>
      <c r="T32" s="163">
        <v>55</v>
      </c>
      <c r="U32" s="163"/>
      <c r="V32" s="163">
        <f t="shared" si="6"/>
        <v>11.9</v>
      </c>
      <c r="W32" s="165">
        <f t="shared" si="7"/>
        <v>6.4</v>
      </c>
      <c r="X32" s="165">
        <f t="shared" si="5"/>
        <v>5.5</v>
      </c>
      <c r="Y32" s="163"/>
    </row>
    <row r="33" spans="1:25" ht="24.75" customHeight="1">
      <c r="A33" s="114">
        <v>25</v>
      </c>
      <c r="B33" s="115" t="s">
        <v>140</v>
      </c>
      <c r="C33" s="115"/>
      <c r="D33" s="162">
        <f t="shared" si="2"/>
        <v>179.4</v>
      </c>
      <c r="E33" s="163"/>
      <c r="F33" s="162">
        <f t="shared" si="3"/>
        <v>179.4</v>
      </c>
      <c r="G33" s="163"/>
      <c r="H33" s="163"/>
      <c r="I33" s="164"/>
      <c r="J33" s="163"/>
      <c r="K33" s="163"/>
      <c r="L33" s="163"/>
      <c r="M33" s="163"/>
      <c r="N33" s="163"/>
      <c r="O33" s="163"/>
      <c r="P33" s="163"/>
      <c r="Q33" s="163">
        <f t="shared" si="4"/>
        <v>181</v>
      </c>
      <c r="R33" s="163">
        <v>16</v>
      </c>
      <c r="S33" s="163">
        <v>165</v>
      </c>
      <c r="T33" s="163"/>
      <c r="U33" s="163"/>
      <c r="V33" s="163">
        <f t="shared" si="6"/>
        <v>1.6</v>
      </c>
      <c r="W33" s="165">
        <f t="shared" si="7"/>
        <v>1.6</v>
      </c>
      <c r="X33" s="165">
        <f t="shared" si="5"/>
        <v>0</v>
      </c>
      <c r="Y33" s="163"/>
    </row>
    <row r="34" spans="1:25" ht="24.75" customHeight="1">
      <c r="A34" s="114">
        <v>26</v>
      </c>
      <c r="B34" s="115" t="s">
        <v>141</v>
      </c>
      <c r="C34" s="115"/>
      <c r="D34" s="162">
        <f t="shared" si="2"/>
        <v>225.3</v>
      </c>
      <c r="E34" s="163"/>
      <c r="F34" s="162">
        <f t="shared" si="3"/>
        <v>225.3</v>
      </c>
      <c r="G34" s="163"/>
      <c r="H34" s="163"/>
      <c r="I34" s="164"/>
      <c r="J34" s="163"/>
      <c r="K34" s="163"/>
      <c r="L34" s="163"/>
      <c r="M34" s="163"/>
      <c r="N34" s="163"/>
      <c r="O34" s="163"/>
      <c r="P34" s="163"/>
      <c r="Q34" s="163">
        <f t="shared" si="4"/>
        <v>234</v>
      </c>
      <c r="R34" s="163">
        <v>32</v>
      </c>
      <c r="S34" s="163">
        <v>147</v>
      </c>
      <c r="T34" s="163">
        <v>55</v>
      </c>
      <c r="U34" s="163"/>
      <c r="V34" s="163">
        <f t="shared" si="6"/>
        <v>8.7</v>
      </c>
      <c r="W34" s="165">
        <f t="shared" si="7"/>
        <v>3.2</v>
      </c>
      <c r="X34" s="165">
        <f t="shared" si="5"/>
        <v>5.5</v>
      </c>
      <c r="Y34" s="163"/>
    </row>
    <row r="35" spans="1:25" ht="24.75" customHeight="1">
      <c r="A35" s="114">
        <v>27</v>
      </c>
      <c r="B35" s="115" t="s">
        <v>142</v>
      </c>
      <c r="C35" s="115"/>
      <c r="D35" s="162">
        <f t="shared" si="2"/>
        <v>48</v>
      </c>
      <c r="E35" s="163"/>
      <c r="F35" s="162">
        <f t="shared" si="3"/>
        <v>48</v>
      </c>
      <c r="G35" s="163"/>
      <c r="H35" s="163"/>
      <c r="I35" s="164"/>
      <c r="J35" s="163"/>
      <c r="K35" s="163"/>
      <c r="L35" s="163"/>
      <c r="M35" s="163"/>
      <c r="N35" s="163"/>
      <c r="O35" s="163"/>
      <c r="P35" s="163"/>
      <c r="Q35" s="163">
        <f t="shared" si="4"/>
        <v>48</v>
      </c>
      <c r="R35" s="163"/>
      <c r="S35" s="163">
        <v>38</v>
      </c>
      <c r="T35" s="163">
        <v>10</v>
      </c>
      <c r="U35" s="163"/>
      <c r="V35" s="163">
        <f t="shared" si="6"/>
        <v>0</v>
      </c>
      <c r="W35" s="165">
        <f t="shared" si="7"/>
        <v>0</v>
      </c>
      <c r="X35" s="165"/>
      <c r="Y35" s="163"/>
    </row>
    <row r="36" spans="1:25" ht="24.75" customHeight="1">
      <c r="A36" s="114">
        <v>28</v>
      </c>
      <c r="B36" s="115" t="s">
        <v>144</v>
      </c>
      <c r="C36" s="115"/>
      <c r="D36" s="162">
        <f>E36+F36</f>
        <v>78</v>
      </c>
      <c r="E36" s="163"/>
      <c r="F36" s="162">
        <f t="shared" si="3"/>
        <v>78</v>
      </c>
      <c r="G36" s="163"/>
      <c r="H36" s="163"/>
      <c r="I36" s="164"/>
      <c r="J36" s="163"/>
      <c r="K36" s="163"/>
      <c r="L36" s="163"/>
      <c r="M36" s="163"/>
      <c r="N36" s="163"/>
      <c r="O36" s="163"/>
      <c r="P36" s="163"/>
      <c r="Q36" s="163">
        <f>SUM(R36:U36)</f>
        <v>78</v>
      </c>
      <c r="R36" s="163"/>
      <c r="S36" s="163">
        <v>68</v>
      </c>
      <c r="T36" s="163">
        <v>10</v>
      </c>
      <c r="U36" s="163"/>
      <c r="V36" s="163">
        <f>SUM(W36:X36)</f>
        <v>0</v>
      </c>
      <c r="W36" s="165">
        <f t="shared" si="7"/>
        <v>0</v>
      </c>
      <c r="X36" s="165"/>
      <c r="Y36" s="163"/>
    </row>
    <row r="37" spans="1:25" ht="23.25" customHeight="1">
      <c r="A37" s="114">
        <v>29</v>
      </c>
      <c r="B37" s="115" t="s">
        <v>143</v>
      </c>
      <c r="C37" s="115"/>
      <c r="D37" s="162">
        <f t="shared" si="2"/>
        <v>10</v>
      </c>
      <c r="E37" s="163"/>
      <c r="F37" s="162">
        <f t="shared" si="3"/>
        <v>10</v>
      </c>
      <c r="G37" s="163"/>
      <c r="H37" s="163"/>
      <c r="I37" s="164"/>
      <c r="J37" s="163"/>
      <c r="K37" s="163"/>
      <c r="L37" s="163"/>
      <c r="M37" s="163"/>
      <c r="N37" s="163"/>
      <c r="O37" s="163"/>
      <c r="P37" s="163"/>
      <c r="Q37" s="163">
        <f t="shared" si="4"/>
        <v>10</v>
      </c>
      <c r="R37" s="163"/>
      <c r="S37" s="163"/>
      <c r="T37" s="163">
        <v>10</v>
      </c>
      <c r="U37" s="163"/>
      <c r="V37" s="163">
        <f t="shared" si="6"/>
        <v>0</v>
      </c>
      <c r="W37" s="165">
        <f t="shared" si="7"/>
        <v>0</v>
      </c>
      <c r="X37" s="165"/>
      <c r="Y37" s="163"/>
    </row>
    <row r="38" spans="1:25" ht="23.25" customHeight="1">
      <c r="A38" s="114">
        <v>30</v>
      </c>
      <c r="B38" s="115" t="s">
        <v>188</v>
      </c>
      <c r="C38" s="115"/>
      <c r="D38" s="162">
        <f t="shared" si="2"/>
        <v>10</v>
      </c>
      <c r="E38" s="163"/>
      <c r="F38" s="162">
        <f t="shared" si="3"/>
        <v>10</v>
      </c>
      <c r="G38" s="163"/>
      <c r="H38" s="163"/>
      <c r="I38" s="164"/>
      <c r="J38" s="163"/>
      <c r="K38" s="163"/>
      <c r="L38" s="163"/>
      <c r="M38" s="163"/>
      <c r="N38" s="163"/>
      <c r="O38" s="163"/>
      <c r="P38" s="163"/>
      <c r="Q38" s="163">
        <f t="shared" si="4"/>
        <v>10</v>
      </c>
      <c r="R38" s="163"/>
      <c r="S38" s="163"/>
      <c r="T38" s="163">
        <v>10</v>
      </c>
      <c r="U38" s="163"/>
      <c r="V38" s="163"/>
      <c r="W38" s="165"/>
      <c r="X38" s="165"/>
      <c r="Y38" s="163"/>
    </row>
    <row r="39" spans="1:25" ht="23.25" customHeight="1">
      <c r="A39" s="114">
        <v>31</v>
      </c>
      <c r="B39" s="115" t="s">
        <v>189</v>
      </c>
      <c r="C39" s="115"/>
      <c r="D39" s="162">
        <f t="shared" si="2"/>
        <v>10</v>
      </c>
      <c r="E39" s="163"/>
      <c r="F39" s="162">
        <f t="shared" si="3"/>
        <v>10</v>
      </c>
      <c r="G39" s="163"/>
      <c r="H39" s="163"/>
      <c r="I39" s="164"/>
      <c r="J39" s="163"/>
      <c r="K39" s="163"/>
      <c r="L39" s="163"/>
      <c r="M39" s="163"/>
      <c r="N39" s="163"/>
      <c r="O39" s="163"/>
      <c r="P39" s="163"/>
      <c r="Q39" s="163">
        <f t="shared" si="4"/>
        <v>10</v>
      </c>
      <c r="R39" s="163"/>
      <c r="S39" s="163"/>
      <c r="T39" s="163">
        <v>10</v>
      </c>
      <c r="U39" s="163"/>
      <c r="V39" s="163"/>
      <c r="W39" s="165"/>
      <c r="X39" s="165"/>
      <c r="Y39" s="163"/>
    </row>
    <row r="40" spans="1:25" ht="23.25" customHeight="1">
      <c r="A40" s="114">
        <v>32</v>
      </c>
      <c r="B40" s="115" t="s">
        <v>190</v>
      </c>
      <c r="C40" s="115"/>
      <c r="D40" s="162">
        <f t="shared" si="2"/>
        <v>10</v>
      </c>
      <c r="E40" s="163"/>
      <c r="F40" s="162">
        <f t="shared" si="3"/>
        <v>10</v>
      </c>
      <c r="G40" s="163"/>
      <c r="H40" s="163"/>
      <c r="I40" s="164"/>
      <c r="J40" s="163"/>
      <c r="K40" s="163"/>
      <c r="L40" s="163"/>
      <c r="M40" s="163"/>
      <c r="N40" s="163"/>
      <c r="O40" s="163"/>
      <c r="P40" s="163"/>
      <c r="Q40" s="163">
        <f t="shared" si="4"/>
        <v>10</v>
      </c>
      <c r="R40" s="163"/>
      <c r="S40" s="163"/>
      <c r="T40" s="163">
        <v>10</v>
      </c>
      <c r="U40" s="163"/>
      <c r="V40" s="163"/>
      <c r="W40" s="165"/>
      <c r="X40" s="165"/>
      <c r="Y40" s="163"/>
    </row>
    <row r="41" spans="1:25" ht="23.25" customHeight="1">
      <c r="A41" s="114">
        <v>33</v>
      </c>
      <c r="B41" s="115" t="s">
        <v>191</v>
      </c>
      <c r="C41" s="115"/>
      <c r="D41" s="162">
        <f t="shared" si="2"/>
        <v>10</v>
      </c>
      <c r="E41" s="163"/>
      <c r="F41" s="162">
        <f t="shared" si="3"/>
        <v>10</v>
      </c>
      <c r="G41" s="163"/>
      <c r="H41" s="163"/>
      <c r="I41" s="164"/>
      <c r="J41" s="163"/>
      <c r="K41" s="163"/>
      <c r="L41" s="163"/>
      <c r="M41" s="163"/>
      <c r="N41" s="163"/>
      <c r="O41" s="163"/>
      <c r="P41" s="163"/>
      <c r="Q41" s="163">
        <f t="shared" si="4"/>
        <v>10</v>
      </c>
      <c r="R41" s="163"/>
      <c r="S41" s="163"/>
      <c r="T41" s="163">
        <v>10</v>
      </c>
      <c r="U41" s="163"/>
      <c r="V41" s="163"/>
      <c r="W41" s="165"/>
      <c r="X41" s="165"/>
      <c r="Y41" s="163"/>
    </row>
    <row r="42" spans="1:25" ht="23.25" customHeight="1">
      <c r="A42" s="114">
        <v>34</v>
      </c>
      <c r="B42" s="115" t="s">
        <v>274</v>
      </c>
      <c r="C42" s="115"/>
      <c r="D42" s="162">
        <f t="shared" si="2"/>
        <v>6</v>
      </c>
      <c r="E42" s="163"/>
      <c r="F42" s="162">
        <f t="shared" si="3"/>
        <v>6</v>
      </c>
      <c r="G42" s="163"/>
      <c r="H42" s="163"/>
      <c r="I42" s="164"/>
      <c r="J42" s="163"/>
      <c r="K42" s="163"/>
      <c r="L42" s="163"/>
      <c r="M42" s="163"/>
      <c r="N42" s="163"/>
      <c r="O42" s="163"/>
      <c r="P42" s="163"/>
      <c r="Q42" s="163">
        <f t="shared" si="4"/>
        <v>6</v>
      </c>
      <c r="R42" s="163"/>
      <c r="S42" s="163"/>
      <c r="T42" s="163">
        <v>6</v>
      </c>
      <c r="U42" s="163"/>
      <c r="V42" s="163"/>
      <c r="W42" s="165"/>
      <c r="X42" s="165"/>
      <c r="Y42" s="163"/>
    </row>
    <row r="43" spans="1:25" ht="22.5" customHeight="1">
      <c r="A43" s="114">
        <v>35</v>
      </c>
      <c r="B43" s="115" t="s">
        <v>277</v>
      </c>
      <c r="C43" s="115"/>
      <c r="D43" s="162">
        <f>E43+F43</f>
        <v>3817</v>
      </c>
      <c r="E43" s="163"/>
      <c r="F43" s="162">
        <f>SUM(G43:U43)-Q43-V43</f>
        <v>3817</v>
      </c>
      <c r="G43" s="163">
        <v>3990</v>
      </c>
      <c r="H43" s="163"/>
      <c r="I43" s="164">
        <v>30</v>
      </c>
      <c r="J43" s="163"/>
      <c r="K43" s="163"/>
      <c r="L43" s="163"/>
      <c r="M43" s="163"/>
      <c r="N43" s="163"/>
      <c r="O43" s="163"/>
      <c r="P43" s="163"/>
      <c r="Q43" s="163">
        <f t="shared" si="4"/>
        <v>0</v>
      </c>
      <c r="R43" s="163"/>
      <c r="S43" s="163"/>
      <c r="T43" s="163"/>
      <c r="U43" s="163"/>
      <c r="V43" s="163">
        <f t="shared" si="6"/>
        <v>203</v>
      </c>
      <c r="W43" s="165">
        <f>R43*10%</f>
        <v>0</v>
      </c>
      <c r="X43" s="165">
        <v>203</v>
      </c>
      <c r="Y43" s="163"/>
    </row>
    <row r="44" spans="1:25" ht="24.75" customHeight="1">
      <c r="A44" s="114">
        <v>36</v>
      </c>
      <c r="B44" s="115" t="s">
        <v>278</v>
      </c>
      <c r="C44" s="115"/>
      <c r="D44" s="162">
        <f>E44+F44</f>
        <v>706.8</v>
      </c>
      <c r="E44" s="163"/>
      <c r="F44" s="162">
        <f t="shared" si="3"/>
        <v>706.8</v>
      </c>
      <c r="G44" s="163"/>
      <c r="H44" s="163">
        <v>744</v>
      </c>
      <c r="I44" s="164"/>
      <c r="J44" s="163"/>
      <c r="K44" s="163"/>
      <c r="L44" s="163"/>
      <c r="M44" s="163"/>
      <c r="N44" s="163"/>
      <c r="O44" s="163"/>
      <c r="P44" s="163"/>
      <c r="Q44" s="163">
        <f t="shared" si="4"/>
        <v>0</v>
      </c>
      <c r="R44" s="163"/>
      <c r="S44" s="163"/>
      <c r="T44" s="163"/>
      <c r="U44" s="163"/>
      <c r="V44" s="163">
        <f t="shared" si="6"/>
        <v>37.2</v>
      </c>
      <c r="W44" s="165">
        <f>R44*10%</f>
        <v>0</v>
      </c>
      <c r="X44" s="165">
        <f>H44*5%</f>
        <v>37.2</v>
      </c>
      <c r="Y44" s="163"/>
    </row>
    <row r="45" spans="1:25" s="161" customFormat="1" ht="24.75" customHeight="1">
      <c r="A45" s="78" t="s">
        <v>11</v>
      </c>
      <c r="B45" s="79" t="s">
        <v>312</v>
      </c>
      <c r="C45" s="79"/>
      <c r="D45" s="160">
        <f>SUM(D46:D47)</f>
        <v>308067</v>
      </c>
      <c r="E45" s="160">
        <f aca="true" t="shared" si="8" ref="E45:Y45">SUM(E46:E47)</f>
        <v>7840</v>
      </c>
      <c r="F45" s="160">
        <f t="shared" si="8"/>
        <v>300227</v>
      </c>
      <c r="G45" s="160">
        <f t="shared" si="8"/>
        <v>0</v>
      </c>
      <c r="H45" s="160">
        <f t="shared" si="8"/>
        <v>0</v>
      </c>
      <c r="I45" s="160">
        <f t="shared" si="8"/>
        <v>300227</v>
      </c>
      <c r="J45" s="160">
        <f t="shared" si="8"/>
        <v>0</v>
      </c>
      <c r="K45" s="160">
        <f t="shared" si="8"/>
        <v>0</v>
      </c>
      <c r="L45" s="160">
        <f t="shared" si="8"/>
        <v>0</v>
      </c>
      <c r="M45" s="160">
        <f t="shared" si="8"/>
        <v>0</v>
      </c>
      <c r="N45" s="160">
        <f t="shared" si="8"/>
        <v>0</v>
      </c>
      <c r="O45" s="160">
        <f t="shared" si="8"/>
        <v>0</v>
      </c>
      <c r="P45" s="160">
        <f t="shared" si="8"/>
        <v>0</v>
      </c>
      <c r="Q45" s="160">
        <f t="shared" si="8"/>
        <v>0</v>
      </c>
      <c r="R45" s="160">
        <f t="shared" si="8"/>
        <v>0</v>
      </c>
      <c r="S45" s="160">
        <f t="shared" si="8"/>
        <v>0</v>
      </c>
      <c r="T45" s="160">
        <f t="shared" si="8"/>
        <v>0</v>
      </c>
      <c r="U45" s="160">
        <f t="shared" si="8"/>
        <v>0</v>
      </c>
      <c r="V45" s="160">
        <f t="shared" si="8"/>
        <v>0</v>
      </c>
      <c r="W45" s="160">
        <f t="shared" si="8"/>
        <v>0</v>
      </c>
      <c r="X45" s="160">
        <f t="shared" si="8"/>
        <v>0</v>
      </c>
      <c r="Y45" s="160">
        <f t="shared" si="8"/>
        <v>0</v>
      </c>
    </row>
    <row r="46" spans="1:25" ht="24.75" customHeight="1">
      <c r="A46" s="114">
        <v>1</v>
      </c>
      <c r="B46" s="115" t="s">
        <v>313</v>
      </c>
      <c r="C46" s="115"/>
      <c r="D46" s="162">
        <f>E46+F46</f>
        <v>25322</v>
      </c>
      <c r="E46" s="163"/>
      <c r="F46" s="162">
        <f>SUM(G46:Y46)-Q46-V46-W46-X46</f>
        <v>25322</v>
      </c>
      <c r="G46" s="163"/>
      <c r="H46" s="163"/>
      <c r="I46" s="164">
        <v>25322</v>
      </c>
      <c r="J46" s="163"/>
      <c r="K46" s="163"/>
      <c r="L46" s="163"/>
      <c r="M46" s="163"/>
      <c r="N46" s="163"/>
      <c r="O46" s="163"/>
      <c r="P46" s="163"/>
      <c r="Q46" s="163">
        <f>SUM(R46:T46)</f>
        <v>0</v>
      </c>
      <c r="R46" s="166"/>
      <c r="S46" s="166"/>
      <c r="T46" s="166"/>
      <c r="U46" s="166"/>
      <c r="V46" s="163">
        <f>SUM(W46:X46)</f>
        <v>0</v>
      </c>
      <c r="W46" s="163"/>
      <c r="X46" s="163"/>
      <c r="Y46" s="163"/>
    </row>
    <row r="47" spans="1:25" ht="24.75" customHeight="1">
      <c r="A47" s="114">
        <v>2</v>
      </c>
      <c r="B47" s="115" t="s">
        <v>314</v>
      </c>
      <c r="C47" s="115"/>
      <c r="D47" s="162">
        <f>E47+F47</f>
        <v>282745</v>
      </c>
      <c r="E47" s="163">
        <v>7840</v>
      </c>
      <c r="F47" s="162">
        <f>SUM(G47:Y47)-Q47-V47-W47-X47</f>
        <v>274905</v>
      </c>
      <c r="G47" s="163"/>
      <c r="H47" s="163"/>
      <c r="I47" s="164">
        <f>282616+129-7840</f>
        <v>274905</v>
      </c>
      <c r="J47" s="163"/>
      <c r="K47" s="163"/>
      <c r="L47" s="163"/>
      <c r="M47" s="163"/>
      <c r="N47" s="163"/>
      <c r="O47" s="163"/>
      <c r="P47" s="163"/>
      <c r="Q47" s="163">
        <f>SUM(R47:T47)</f>
        <v>0</v>
      </c>
      <c r="R47" s="166"/>
      <c r="S47" s="166"/>
      <c r="T47" s="166"/>
      <c r="U47" s="166"/>
      <c r="V47" s="163"/>
      <c r="W47" s="163"/>
      <c r="X47" s="163"/>
      <c r="Y47" s="163"/>
    </row>
    <row r="48" spans="1:25" s="161" customFormat="1" ht="24.75" customHeight="1">
      <c r="A48" s="78" t="s">
        <v>17</v>
      </c>
      <c r="B48" s="79" t="s">
        <v>315</v>
      </c>
      <c r="C48" s="79"/>
      <c r="D48" s="160">
        <f>SUM(D49:D54)</f>
        <v>2881.092</v>
      </c>
      <c r="E48" s="160">
        <f aca="true" t="shared" si="9" ref="E48:Y48">SUM(E49:E54)</f>
        <v>500</v>
      </c>
      <c r="F48" s="160">
        <f t="shared" si="9"/>
        <v>2381.092</v>
      </c>
      <c r="G48" s="160">
        <f t="shared" si="9"/>
        <v>0</v>
      </c>
      <c r="H48" s="160">
        <f t="shared" si="9"/>
        <v>0</v>
      </c>
      <c r="I48" s="160">
        <f t="shared" si="9"/>
        <v>0</v>
      </c>
      <c r="J48" s="160">
        <f t="shared" si="9"/>
        <v>0</v>
      </c>
      <c r="K48" s="160">
        <f t="shared" si="9"/>
        <v>0</v>
      </c>
      <c r="L48" s="160">
        <f t="shared" si="9"/>
        <v>0</v>
      </c>
      <c r="M48" s="160">
        <f t="shared" si="9"/>
        <v>0</v>
      </c>
      <c r="N48" s="160">
        <f t="shared" si="9"/>
        <v>0</v>
      </c>
      <c r="O48" s="160">
        <f t="shared" si="9"/>
        <v>0</v>
      </c>
      <c r="P48" s="160">
        <f t="shared" si="9"/>
        <v>0</v>
      </c>
      <c r="Q48" s="160">
        <f t="shared" si="9"/>
        <v>21.092</v>
      </c>
      <c r="R48" s="160">
        <f t="shared" si="9"/>
        <v>0</v>
      </c>
      <c r="S48" s="160">
        <f t="shared" si="9"/>
        <v>21.092</v>
      </c>
      <c r="T48" s="160">
        <f t="shared" si="9"/>
        <v>0</v>
      </c>
      <c r="U48" s="160">
        <f t="shared" si="9"/>
        <v>0</v>
      </c>
      <c r="V48" s="160">
        <f t="shared" si="9"/>
        <v>0</v>
      </c>
      <c r="W48" s="160">
        <f t="shared" si="9"/>
        <v>0</v>
      </c>
      <c r="X48" s="160">
        <f t="shared" si="9"/>
        <v>0</v>
      </c>
      <c r="Y48" s="160">
        <f t="shared" si="9"/>
        <v>2360</v>
      </c>
    </row>
    <row r="49" spans="1:25" ht="24.75" customHeight="1">
      <c r="A49" s="114">
        <v>1</v>
      </c>
      <c r="B49" s="115" t="s">
        <v>145</v>
      </c>
      <c r="C49" s="115"/>
      <c r="D49" s="162">
        <f t="shared" si="2"/>
        <v>150</v>
      </c>
      <c r="E49" s="163"/>
      <c r="F49" s="162">
        <f aca="true" t="shared" si="10" ref="F49:F54">SUM(G49:Y49)-Q49-V49-W49-X49</f>
        <v>150</v>
      </c>
      <c r="G49" s="163"/>
      <c r="H49" s="163"/>
      <c r="I49" s="164"/>
      <c r="J49" s="163"/>
      <c r="K49" s="163"/>
      <c r="L49" s="163"/>
      <c r="M49" s="163"/>
      <c r="N49" s="163"/>
      <c r="O49" s="163"/>
      <c r="P49" s="163"/>
      <c r="Q49" s="163">
        <f>SUM(R49:T49)</f>
        <v>0</v>
      </c>
      <c r="R49" s="166"/>
      <c r="S49" s="166"/>
      <c r="T49" s="166"/>
      <c r="U49" s="166"/>
      <c r="V49" s="163">
        <f t="shared" si="6"/>
        <v>0</v>
      </c>
      <c r="W49" s="163"/>
      <c r="X49" s="163"/>
      <c r="Y49" s="163">
        <v>150</v>
      </c>
    </row>
    <row r="50" spans="1:25" ht="24.75" customHeight="1">
      <c r="A50" s="114">
        <v>2</v>
      </c>
      <c r="B50" s="115" t="s">
        <v>146</v>
      </c>
      <c r="C50" s="115"/>
      <c r="D50" s="162">
        <f t="shared" si="2"/>
        <v>120</v>
      </c>
      <c r="E50" s="163"/>
      <c r="F50" s="162">
        <f t="shared" si="10"/>
        <v>120</v>
      </c>
      <c r="G50" s="163"/>
      <c r="H50" s="163"/>
      <c r="I50" s="164"/>
      <c r="J50" s="163"/>
      <c r="K50" s="163"/>
      <c r="L50" s="163"/>
      <c r="M50" s="163"/>
      <c r="N50" s="163"/>
      <c r="O50" s="163"/>
      <c r="P50" s="163"/>
      <c r="Q50" s="163">
        <f>SUM(R50:T50)</f>
        <v>0</v>
      </c>
      <c r="R50" s="163"/>
      <c r="S50" s="163"/>
      <c r="T50" s="163"/>
      <c r="U50" s="163"/>
      <c r="V50" s="163">
        <f t="shared" si="6"/>
        <v>0</v>
      </c>
      <c r="W50" s="163"/>
      <c r="X50" s="163"/>
      <c r="Y50" s="163">
        <v>120</v>
      </c>
    </row>
    <row r="51" spans="1:25" ht="24.75" customHeight="1">
      <c r="A51" s="114">
        <v>3</v>
      </c>
      <c r="B51" s="115" t="s">
        <v>147</v>
      </c>
      <c r="C51" s="115"/>
      <c r="D51" s="162">
        <f t="shared" si="2"/>
        <v>90</v>
      </c>
      <c r="E51" s="163"/>
      <c r="F51" s="162">
        <f t="shared" si="10"/>
        <v>90</v>
      </c>
      <c r="G51" s="163"/>
      <c r="H51" s="163"/>
      <c r="I51" s="164"/>
      <c r="J51" s="163"/>
      <c r="K51" s="163"/>
      <c r="L51" s="163"/>
      <c r="M51" s="163"/>
      <c r="N51" s="163"/>
      <c r="O51" s="163"/>
      <c r="P51" s="163"/>
      <c r="Q51" s="163">
        <f>SUM(R51:T51)</f>
        <v>0</v>
      </c>
      <c r="R51" s="163"/>
      <c r="S51" s="163"/>
      <c r="T51" s="163"/>
      <c r="U51" s="163"/>
      <c r="V51" s="163">
        <f t="shared" si="6"/>
        <v>0</v>
      </c>
      <c r="W51" s="163"/>
      <c r="X51" s="163"/>
      <c r="Y51" s="163">
        <v>90</v>
      </c>
    </row>
    <row r="52" spans="1:25" ht="24.75" customHeight="1">
      <c r="A52" s="114">
        <v>4</v>
      </c>
      <c r="B52" s="115" t="s">
        <v>276</v>
      </c>
      <c r="C52" s="115"/>
      <c r="D52" s="162">
        <f t="shared" si="2"/>
        <v>21.092</v>
      </c>
      <c r="E52" s="163"/>
      <c r="F52" s="162">
        <f t="shared" si="10"/>
        <v>21.092</v>
      </c>
      <c r="G52" s="163"/>
      <c r="H52" s="163"/>
      <c r="I52" s="164"/>
      <c r="J52" s="163"/>
      <c r="K52" s="163"/>
      <c r="L52" s="163"/>
      <c r="M52" s="163"/>
      <c r="N52" s="163"/>
      <c r="O52" s="163"/>
      <c r="P52" s="163"/>
      <c r="Q52" s="163">
        <f>SUM(R52:T52)</f>
        <v>21.092</v>
      </c>
      <c r="R52" s="163"/>
      <c r="S52" s="163">
        <v>21.092</v>
      </c>
      <c r="T52" s="163"/>
      <c r="U52" s="163"/>
      <c r="V52" s="163">
        <f t="shared" si="6"/>
        <v>0</v>
      </c>
      <c r="W52" s="163"/>
      <c r="X52" s="163"/>
      <c r="Y52" s="163"/>
    </row>
    <row r="53" spans="1:25" ht="24.75" customHeight="1">
      <c r="A53" s="114">
        <v>5</v>
      </c>
      <c r="B53" s="115" t="s">
        <v>316</v>
      </c>
      <c r="C53" s="115"/>
      <c r="D53" s="162">
        <f t="shared" si="2"/>
        <v>2000</v>
      </c>
      <c r="E53" s="163">
        <v>500</v>
      </c>
      <c r="F53" s="162">
        <f t="shared" si="10"/>
        <v>1500</v>
      </c>
      <c r="G53" s="163"/>
      <c r="H53" s="163"/>
      <c r="I53" s="164"/>
      <c r="J53" s="163"/>
      <c r="K53" s="163"/>
      <c r="L53" s="163"/>
      <c r="M53" s="163"/>
      <c r="N53" s="163"/>
      <c r="O53" s="163"/>
      <c r="P53" s="163"/>
      <c r="Q53" s="163">
        <f>SUM(R53:T53)</f>
        <v>0</v>
      </c>
      <c r="R53" s="163"/>
      <c r="S53" s="163"/>
      <c r="T53" s="163"/>
      <c r="U53" s="163"/>
      <c r="V53" s="163">
        <f t="shared" si="6"/>
        <v>0</v>
      </c>
      <c r="W53" s="163"/>
      <c r="X53" s="163"/>
      <c r="Y53" s="163">
        <v>1500</v>
      </c>
    </row>
    <row r="54" spans="1:25" ht="24.75" customHeight="1">
      <c r="A54" s="114">
        <v>6</v>
      </c>
      <c r="B54" s="115" t="s">
        <v>280</v>
      </c>
      <c r="C54" s="115"/>
      <c r="D54" s="162">
        <f t="shared" si="2"/>
        <v>500</v>
      </c>
      <c r="E54" s="163"/>
      <c r="F54" s="162">
        <f t="shared" si="10"/>
        <v>500</v>
      </c>
      <c r="G54" s="163"/>
      <c r="H54" s="163"/>
      <c r="I54" s="164"/>
      <c r="J54" s="163"/>
      <c r="K54" s="163"/>
      <c r="L54" s="163"/>
      <c r="M54" s="163"/>
      <c r="N54" s="163"/>
      <c r="O54" s="163"/>
      <c r="P54" s="163"/>
      <c r="Q54" s="163"/>
      <c r="R54" s="163"/>
      <c r="S54" s="163"/>
      <c r="T54" s="163"/>
      <c r="U54" s="163"/>
      <c r="V54" s="163">
        <f t="shared" si="6"/>
        <v>0</v>
      </c>
      <c r="W54" s="163"/>
      <c r="X54" s="163"/>
      <c r="Y54" s="163">
        <v>500</v>
      </c>
    </row>
    <row r="55" spans="1:25" ht="24.75" customHeight="1">
      <c r="A55" s="167" t="s">
        <v>19</v>
      </c>
      <c r="B55" s="168" t="s">
        <v>317</v>
      </c>
      <c r="C55" s="168"/>
      <c r="D55" s="160">
        <f aca="true" t="shared" si="11" ref="D55:Y55">SUM(D56:D59)</f>
        <v>41992</v>
      </c>
      <c r="E55" s="160">
        <f t="shared" si="11"/>
        <v>22326</v>
      </c>
      <c r="F55" s="160">
        <f t="shared" si="11"/>
        <v>19666</v>
      </c>
      <c r="G55" s="160">
        <f t="shared" si="11"/>
        <v>0</v>
      </c>
      <c r="H55" s="160">
        <f t="shared" si="11"/>
        <v>0</v>
      </c>
      <c r="I55" s="160">
        <f t="shared" si="11"/>
        <v>15406</v>
      </c>
      <c r="J55" s="160">
        <f t="shared" si="11"/>
        <v>0</v>
      </c>
      <c r="K55" s="160">
        <f t="shared" si="11"/>
        <v>0</v>
      </c>
      <c r="L55" s="160">
        <f t="shared" si="11"/>
        <v>0</v>
      </c>
      <c r="M55" s="160">
        <f t="shared" si="11"/>
        <v>0</v>
      </c>
      <c r="N55" s="160">
        <f t="shared" si="11"/>
        <v>0</v>
      </c>
      <c r="O55" s="160">
        <f t="shared" si="11"/>
        <v>0</v>
      </c>
      <c r="P55" s="160">
        <f t="shared" si="11"/>
        <v>0</v>
      </c>
      <c r="Q55" s="160">
        <f t="shared" si="11"/>
        <v>0</v>
      </c>
      <c r="R55" s="160">
        <f t="shared" si="11"/>
        <v>0</v>
      </c>
      <c r="S55" s="160">
        <f t="shared" si="11"/>
        <v>0</v>
      </c>
      <c r="T55" s="160">
        <f t="shared" si="11"/>
        <v>0</v>
      </c>
      <c r="U55" s="160">
        <f t="shared" si="11"/>
        <v>0</v>
      </c>
      <c r="V55" s="160">
        <f t="shared" si="11"/>
        <v>4993</v>
      </c>
      <c r="W55" s="160">
        <f t="shared" si="11"/>
        <v>0</v>
      </c>
      <c r="X55" s="160">
        <f t="shared" si="11"/>
        <v>4993</v>
      </c>
      <c r="Y55" s="160">
        <f t="shared" si="11"/>
        <v>4260</v>
      </c>
    </row>
    <row r="56" spans="1:25" ht="24.75" customHeight="1">
      <c r="A56" s="169">
        <v>1</v>
      </c>
      <c r="B56" s="170" t="s">
        <v>282</v>
      </c>
      <c r="C56" s="170"/>
      <c r="D56" s="171">
        <f>E56+F56</f>
        <v>16172</v>
      </c>
      <c r="E56" s="171">
        <v>766</v>
      </c>
      <c r="F56" s="162">
        <f>SUM(G56:Y56)-V56-W56-X56</f>
        <v>15406</v>
      </c>
      <c r="G56" s="171"/>
      <c r="H56" s="171"/>
      <c r="I56" s="172">
        <f>16172-766</f>
        <v>15406</v>
      </c>
      <c r="J56" s="171"/>
      <c r="K56" s="171"/>
      <c r="L56" s="171"/>
      <c r="M56" s="171"/>
      <c r="N56" s="171"/>
      <c r="O56" s="171"/>
      <c r="P56" s="162"/>
      <c r="Q56" s="163">
        <f>SUM(R56:T56)</f>
        <v>0</v>
      </c>
      <c r="R56" s="162"/>
      <c r="S56" s="162"/>
      <c r="T56" s="162"/>
      <c r="U56" s="162"/>
      <c r="V56" s="163">
        <f t="shared" si="6"/>
        <v>0</v>
      </c>
      <c r="W56" s="162"/>
      <c r="X56" s="162"/>
      <c r="Y56" s="162"/>
    </row>
    <row r="57" spans="1:25" ht="24.75" customHeight="1">
      <c r="A57" s="169">
        <v>2</v>
      </c>
      <c r="B57" s="170" t="s">
        <v>318</v>
      </c>
      <c r="C57" s="170"/>
      <c r="D57" s="171">
        <f>E57+F57</f>
        <v>21560</v>
      </c>
      <c r="E57" s="171">
        <v>21560</v>
      </c>
      <c r="F57" s="162">
        <f>SUM(G57:Y57)-V57-W57-X57</f>
        <v>0</v>
      </c>
      <c r="G57" s="171"/>
      <c r="H57" s="171"/>
      <c r="I57" s="172"/>
      <c r="J57" s="171"/>
      <c r="K57" s="171"/>
      <c r="L57" s="171"/>
      <c r="M57" s="171"/>
      <c r="N57" s="171"/>
      <c r="O57" s="171"/>
      <c r="P57" s="162"/>
      <c r="Q57" s="163"/>
      <c r="R57" s="162"/>
      <c r="S57" s="162"/>
      <c r="T57" s="162"/>
      <c r="U57" s="162"/>
      <c r="V57" s="163">
        <f t="shared" si="6"/>
        <v>657</v>
      </c>
      <c r="W57" s="162"/>
      <c r="X57" s="162">
        <v>657</v>
      </c>
      <c r="Y57" s="162"/>
    </row>
    <row r="58" spans="1:25" ht="24.75" customHeight="1">
      <c r="A58" s="169">
        <v>3</v>
      </c>
      <c r="B58" s="170" t="s">
        <v>128</v>
      </c>
      <c r="C58" s="170"/>
      <c r="D58" s="171">
        <f>E58+F58</f>
        <v>4260</v>
      </c>
      <c r="E58" s="171"/>
      <c r="F58" s="162">
        <f>SUM(G58:Y58)-V58-W58-X58</f>
        <v>4260</v>
      </c>
      <c r="G58" s="171"/>
      <c r="H58" s="171"/>
      <c r="I58" s="172"/>
      <c r="J58" s="171"/>
      <c r="K58" s="171"/>
      <c r="L58" s="171"/>
      <c r="M58" s="171"/>
      <c r="N58" s="171"/>
      <c r="O58" s="171"/>
      <c r="P58" s="162"/>
      <c r="Q58" s="163">
        <f>SUM(R58:T58)</f>
        <v>0</v>
      </c>
      <c r="R58" s="162"/>
      <c r="S58" s="162"/>
      <c r="T58" s="162"/>
      <c r="U58" s="162"/>
      <c r="V58" s="163">
        <f>SUM(W58:X58)</f>
        <v>36</v>
      </c>
      <c r="W58" s="162"/>
      <c r="X58" s="162">
        <v>36</v>
      </c>
      <c r="Y58" s="162">
        <v>4260</v>
      </c>
    </row>
    <row r="59" spans="1:25" ht="24.75" customHeight="1">
      <c r="A59" s="169">
        <v>4</v>
      </c>
      <c r="B59" s="170" t="s">
        <v>319</v>
      </c>
      <c r="C59" s="170"/>
      <c r="D59" s="171">
        <f>E59+F59</f>
        <v>0</v>
      </c>
      <c r="E59" s="171"/>
      <c r="F59" s="162">
        <f>SUM(G59:Y59)-V59-W59-X59</f>
        <v>0</v>
      </c>
      <c r="G59" s="171"/>
      <c r="H59" s="171"/>
      <c r="I59" s="172"/>
      <c r="J59" s="171"/>
      <c r="K59" s="171"/>
      <c r="L59" s="171"/>
      <c r="M59" s="171"/>
      <c r="N59" s="171"/>
      <c r="O59" s="171"/>
      <c r="P59" s="162"/>
      <c r="Q59" s="163">
        <f>SUM(R59:T59)</f>
        <v>0</v>
      </c>
      <c r="R59" s="162"/>
      <c r="S59" s="162"/>
      <c r="T59" s="162"/>
      <c r="U59" s="162"/>
      <c r="V59" s="163">
        <f>SUM(W59:X59)</f>
        <v>4300</v>
      </c>
      <c r="W59" s="162"/>
      <c r="X59" s="162">
        <v>4300</v>
      </c>
      <c r="Y59" s="162"/>
    </row>
    <row r="60" spans="6:25" ht="15.75">
      <c r="F60" s="174"/>
      <c r="G60" s="174"/>
      <c r="H60" s="174"/>
      <c r="I60" s="174"/>
      <c r="J60" s="174"/>
      <c r="K60" s="174"/>
      <c r="L60" s="174"/>
      <c r="M60" s="174"/>
      <c r="N60" s="174"/>
      <c r="O60" s="174"/>
      <c r="P60" s="174"/>
      <c r="Q60" s="174"/>
      <c r="R60" s="174"/>
      <c r="S60" s="174"/>
      <c r="T60" s="174"/>
      <c r="U60" s="174"/>
      <c r="V60" s="174"/>
      <c r="W60" s="174"/>
      <c r="X60" s="174"/>
      <c r="Y60" s="174"/>
    </row>
    <row r="61" spans="4:6" ht="15.75" hidden="1">
      <c r="D61" s="161" t="s">
        <v>320</v>
      </c>
      <c r="F61" s="174"/>
    </row>
    <row r="62" spans="1:25" ht="15.75" hidden="1">
      <c r="A62" s="176">
        <v>99</v>
      </c>
      <c r="B62" s="177" t="s">
        <v>321</v>
      </c>
      <c r="C62" s="177"/>
      <c r="D62" s="178" t="e">
        <f>D8+#REF!+D55</f>
        <v>#REF!</v>
      </c>
      <c r="E62" s="178"/>
      <c r="F62" s="178"/>
      <c r="G62" s="178"/>
      <c r="H62" s="178"/>
      <c r="I62" s="178"/>
      <c r="J62" s="178"/>
      <c r="K62" s="178"/>
      <c r="L62" s="178"/>
      <c r="M62" s="178"/>
      <c r="N62" s="178"/>
      <c r="O62" s="178"/>
      <c r="P62" s="178"/>
      <c r="Q62" s="178"/>
      <c r="R62" s="178"/>
      <c r="S62" s="178"/>
      <c r="T62" s="178"/>
      <c r="U62" s="178"/>
      <c r="V62" s="178"/>
      <c r="W62" s="178"/>
      <c r="X62" s="178"/>
      <c r="Y62" s="178"/>
    </row>
    <row r="63" spans="2:25" ht="15.75" hidden="1">
      <c r="B63" s="173" t="s">
        <v>322</v>
      </c>
      <c r="D63" s="179"/>
      <c r="E63" s="179"/>
      <c r="F63" s="179"/>
      <c r="G63" s="175"/>
      <c r="H63" s="175"/>
      <c r="J63" s="175"/>
      <c r="K63" s="175"/>
      <c r="L63" s="175"/>
      <c r="M63" s="175"/>
      <c r="N63" s="175"/>
      <c r="O63" s="175"/>
      <c r="P63" s="175"/>
      <c r="Q63" s="175"/>
      <c r="R63" s="175"/>
      <c r="S63" s="175"/>
      <c r="T63" s="175"/>
      <c r="U63" s="175"/>
      <c r="V63" s="175"/>
      <c r="W63" s="175"/>
      <c r="X63" s="175"/>
      <c r="Y63" s="175"/>
    </row>
    <row r="64" spans="2:25" ht="15.75" hidden="1">
      <c r="B64" s="173" t="s">
        <v>323</v>
      </c>
      <c r="D64" s="179"/>
      <c r="E64" s="179"/>
      <c r="F64" s="179"/>
      <c r="G64" s="175"/>
      <c r="H64" s="175"/>
      <c r="J64" s="175"/>
      <c r="K64" s="175"/>
      <c r="L64" s="175"/>
      <c r="M64" s="175"/>
      <c r="N64" s="175"/>
      <c r="O64" s="175"/>
      <c r="P64" s="175"/>
      <c r="Q64" s="175"/>
      <c r="R64" s="175"/>
      <c r="S64" s="175"/>
      <c r="T64" s="175"/>
      <c r="U64" s="175"/>
      <c r="V64" s="175"/>
      <c r="W64" s="175"/>
      <c r="X64" s="175"/>
      <c r="Y64" s="175"/>
    </row>
    <row r="65" spans="2:25" ht="15.75" hidden="1">
      <c r="B65" s="173" t="s">
        <v>324</v>
      </c>
      <c r="D65" s="179"/>
      <c r="E65" s="179"/>
      <c r="F65" s="179"/>
      <c r="G65" s="175"/>
      <c r="H65" s="175"/>
      <c r="J65" s="175"/>
      <c r="K65" s="175"/>
      <c r="L65" s="175"/>
      <c r="M65" s="175"/>
      <c r="N65" s="175"/>
      <c r="O65" s="175"/>
      <c r="P65" s="175"/>
      <c r="Q65" s="175"/>
      <c r="R65" s="175"/>
      <c r="S65" s="175"/>
      <c r="T65" s="175"/>
      <c r="U65" s="175"/>
      <c r="V65" s="175"/>
      <c r="W65" s="175"/>
      <c r="X65" s="175"/>
      <c r="Y65" s="175"/>
    </row>
    <row r="66" ht="15.75" hidden="1"/>
    <row r="67" spans="6:10" ht="15.75">
      <c r="F67" s="174"/>
      <c r="G67" s="161"/>
      <c r="J67" s="140"/>
    </row>
    <row r="68" ht="15.75">
      <c r="V68" s="140"/>
    </row>
  </sheetData>
  <sheetProtection/>
  <mergeCells count="23">
    <mergeCell ref="W4:X4"/>
    <mergeCell ref="Y4:Y5"/>
    <mergeCell ref="K4:K5"/>
    <mergeCell ref="L4:L5"/>
    <mergeCell ref="M4:M5"/>
    <mergeCell ref="N4:N5"/>
    <mergeCell ref="O4:O5"/>
    <mergeCell ref="H4:H5"/>
    <mergeCell ref="I4:I5"/>
    <mergeCell ref="J4:J5"/>
    <mergeCell ref="Q4:Q5"/>
    <mergeCell ref="R4:U4"/>
    <mergeCell ref="V4:V5"/>
    <mergeCell ref="V1:Y1"/>
    <mergeCell ref="A2:Y2"/>
    <mergeCell ref="P3:Y3"/>
    <mergeCell ref="A4:A5"/>
    <mergeCell ref="B4:B5"/>
    <mergeCell ref="D4:D5"/>
    <mergeCell ref="P4:P5"/>
    <mergeCell ref="E4:E5"/>
    <mergeCell ref="F4:F5"/>
    <mergeCell ref="G4:G5"/>
  </mergeCells>
  <printOptions/>
  <pageMargins left="0.26" right="0.2" top="0.36" bottom="0.3" header="0.2" footer="0.2"/>
  <pageSetup horizontalDpi="600" verticalDpi="600" orientation="landscape" paperSize="9" scale="55" r:id="rId3"/>
  <legacyDrawing r:id="rId2"/>
</worksheet>
</file>

<file path=xl/worksheets/sheet9.xml><?xml version="1.0" encoding="utf-8"?>
<worksheet xmlns="http://schemas.openxmlformats.org/spreadsheetml/2006/main" xmlns:r="http://schemas.openxmlformats.org/officeDocument/2006/relationships">
  <sheetPr>
    <tabColor rgb="FFFF0000"/>
  </sheetPr>
  <dimension ref="A1:IV29"/>
  <sheetViews>
    <sheetView zoomScalePageLayoutView="0" workbookViewId="0" topLeftCell="A1">
      <selection activeCell="A1" sqref="A1:IV16384"/>
    </sheetView>
  </sheetViews>
  <sheetFormatPr defaultColWidth="9.00390625" defaultRowHeight="15.75"/>
  <cols>
    <col min="1" max="1" width="6.875" style="209" customWidth="1"/>
    <col min="2" max="2" width="23.625" style="209" customWidth="1"/>
    <col min="3" max="3" width="15.00390625" style="209" customWidth="1"/>
    <col min="4" max="4" width="14.625" style="209" customWidth="1"/>
    <col min="5" max="5" width="13.125" style="209" customWidth="1"/>
    <col min="6" max="6" width="11.75390625" style="209" hidden="1" customWidth="1"/>
    <col min="7" max="7" width="11.75390625" style="210" customWidth="1"/>
    <col min="8" max="8" width="15.25390625" style="209" customWidth="1"/>
    <col min="9" max="9" width="16.25390625" style="209" customWidth="1"/>
    <col min="10" max="10" width="13.25390625" style="209" customWidth="1"/>
    <col min="11" max="16384" width="9.00390625" style="209" customWidth="1"/>
  </cols>
  <sheetData>
    <row r="1" spans="1:12" ht="24" customHeight="1">
      <c r="A1" s="259" t="s">
        <v>325</v>
      </c>
      <c r="B1" s="259"/>
      <c r="C1" s="207"/>
      <c r="D1" s="207"/>
      <c r="E1" s="207"/>
      <c r="F1" s="207"/>
      <c r="G1" s="207"/>
      <c r="H1" s="207"/>
      <c r="I1" s="233" t="s">
        <v>328</v>
      </c>
      <c r="J1" s="233"/>
      <c r="K1" s="208"/>
      <c r="L1" s="208"/>
    </row>
    <row r="2" spans="1:10" ht="49.5" customHeight="1">
      <c r="A2" s="257" t="s">
        <v>326</v>
      </c>
      <c r="B2" s="257"/>
      <c r="C2" s="257"/>
      <c r="D2" s="257"/>
      <c r="E2" s="257"/>
      <c r="F2" s="257"/>
      <c r="G2" s="257"/>
      <c r="H2" s="257"/>
      <c r="I2" s="257"/>
      <c r="J2" s="257"/>
    </row>
    <row r="3" spans="9:10" ht="15.75">
      <c r="I3" s="260" t="s">
        <v>327</v>
      </c>
      <c r="J3" s="260"/>
    </row>
    <row r="4" spans="1:256" ht="15.75">
      <c r="A4" s="258" t="s">
        <v>1</v>
      </c>
      <c r="B4" s="258" t="s">
        <v>95</v>
      </c>
      <c r="C4" s="258" t="s">
        <v>96</v>
      </c>
      <c r="D4" s="258" t="s">
        <v>201</v>
      </c>
      <c r="E4" s="258" t="s">
        <v>65</v>
      </c>
      <c r="F4" s="258"/>
      <c r="G4" s="258"/>
      <c r="H4" s="258" t="s">
        <v>202</v>
      </c>
      <c r="I4" s="258" t="s">
        <v>20</v>
      </c>
      <c r="J4" s="258" t="s">
        <v>203</v>
      </c>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211"/>
      <c r="CM4" s="211"/>
      <c r="CN4" s="211"/>
      <c r="CO4" s="211"/>
      <c r="CP4" s="211"/>
      <c r="CQ4" s="211"/>
      <c r="CR4" s="211"/>
      <c r="CS4" s="211"/>
      <c r="CT4" s="211"/>
      <c r="CU4" s="211"/>
      <c r="CV4" s="211"/>
      <c r="CW4" s="211"/>
      <c r="CX4" s="211"/>
      <c r="CY4" s="211"/>
      <c r="CZ4" s="211"/>
      <c r="DA4" s="211"/>
      <c r="DB4" s="211"/>
      <c r="DC4" s="211"/>
      <c r="DD4" s="211"/>
      <c r="DE4" s="211"/>
      <c r="DF4" s="211"/>
      <c r="DG4" s="211"/>
      <c r="DH4" s="211"/>
      <c r="DI4" s="211"/>
      <c r="DJ4" s="211"/>
      <c r="DK4" s="211"/>
      <c r="DL4" s="211"/>
      <c r="DM4" s="211"/>
      <c r="DN4" s="211"/>
      <c r="DO4" s="211"/>
      <c r="DP4" s="211"/>
      <c r="DQ4" s="211"/>
      <c r="DR4" s="211"/>
      <c r="DS4" s="211"/>
      <c r="DT4" s="211"/>
      <c r="DU4" s="211"/>
      <c r="DV4" s="211"/>
      <c r="DW4" s="211"/>
      <c r="DX4" s="211"/>
      <c r="DY4" s="211"/>
      <c r="DZ4" s="211"/>
      <c r="EA4" s="211"/>
      <c r="EB4" s="211"/>
      <c r="EC4" s="211"/>
      <c r="ED4" s="211"/>
      <c r="EE4" s="211"/>
      <c r="EF4" s="211"/>
      <c r="EG4" s="211"/>
      <c r="EH4" s="211"/>
      <c r="EI4" s="211"/>
      <c r="EJ4" s="211"/>
      <c r="EK4" s="211"/>
      <c r="EL4" s="211"/>
      <c r="EM4" s="211"/>
      <c r="EN4" s="211"/>
      <c r="EO4" s="211"/>
      <c r="EP4" s="211"/>
      <c r="EQ4" s="211"/>
      <c r="ER4" s="211"/>
      <c r="ES4" s="211"/>
      <c r="ET4" s="211"/>
      <c r="EU4" s="211"/>
      <c r="EV4" s="211"/>
      <c r="EW4" s="211"/>
      <c r="EX4" s="211"/>
      <c r="EY4" s="211"/>
      <c r="EZ4" s="211"/>
      <c r="FA4" s="211"/>
      <c r="FB4" s="211"/>
      <c r="FC4" s="211"/>
      <c r="FD4" s="211"/>
      <c r="FE4" s="211"/>
      <c r="FF4" s="211"/>
      <c r="FG4" s="211"/>
      <c r="FH4" s="211"/>
      <c r="FI4" s="211"/>
      <c r="FJ4" s="211"/>
      <c r="FK4" s="211"/>
      <c r="FL4" s="211"/>
      <c r="FM4" s="211"/>
      <c r="FN4" s="211"/>
      <c r="FO4" s="211"/>
      <c r="FP4" s="211"/>
      <c r="FQ4" s="211"/>
      <c r="FR4" s="211"/>
      <c r="FS4" s="211"/>
      <c r="FT4" s="211"/>
      <c r="FU4" s="211"/>
      <c r="FV4" s="211"/>
      <c r="FW4" s="211"/>
      <c r="FX4" s="211"/>
      <c r="FY4" s="211"/>
      <c r="FZ4" s="211"/>
      <c r="GA4" s="211"/>
      <c r="GB4" s="211"/>
      <c r="GC4" s="211"/>
      <c r="GD4" s="211"/>
      <c r="GE4" s="211"/>
      <c r="GF4" s="211"/>
      <c r="GG4" s="211"/>
      <c r="GH4" s="211"/>
      <c r="GI4" s="211"/>
      <c r="GJ4" s="211"/>
      <c r="GK4" s="211"/>
      <c r="GL4" s="211"/>
      <c r="GM4" s="211"/>
      <c r="GN4" s="211"/>
      <c r="GO4" s="211"/>
      <c r="GP4" s="211"/>
      <c r="GQ4" s="211"/>
      <c r="GR4" s="211"/>
      <c r="GS4" s="211"/>
      <c r="GT4" s="211"/>
      <c r="GU4" s="211"/>
      <c r="GV4" s="211"/>
      <c r="GW4" s="211"/>
      <c r="GX4" s="211"/>
      <c r="GY4" s="211"/>
      <c r="GZ4" s="211"/>
      <c r="HA4" s="211"/>
      <c r="HB4" s="211"/>
      <c r="HC4" s="211"/>
      <c r="HD4" s="211"/>
      <c r="HE4" s="211"/>
      <c r="HF4" s="211"/>
      <c r="HG4" s="211"/>
      <c r="HH4" s="211"/>
      <c r="HI4" s="211"/>
      <c r="HJ4" s="211"/>
      <c r="HK4" s="211"/>
      <c r="HL4" s="211"/>
      <c r="HM4" s="211"/>
      <c r="HN4" s="211"/>
      <c r="HO4" s="211"/>
      <c r="HP4" s="211"/>
      <c r="HQ4" s="211"/>
      <c r="HR4" s="211"/>
      <c r="HS4" s="211"/>
      <c r="HT4" s="211"/>
      <c r="HU4" s="211"/>
      <c r="HV4" s="211"/>
      <c r="HW4" s="211"/>
      <c r="HX4" s="211"/>
      <c r="HY4" s="211"/>
      <c r="HZ4" s="211"/>
      <c r="IA4" s="211"/>
      <c r="IB4" s="211"/>
      <c r="IC4" s="211"/>
      <c r="ID4" s="211"/>
      <c r="IE4" s="211"/>
      <c r="IF4" s="211"/>
      <c r="IG4" s="211"/>
      <c r="IH4" s="211"/>
      <c r="II4" s="211"/>
      <c r="IJ4" s="211"/>
      <c r="IK4" s="211"/>
      <c r="IL4" s="211"/>
      <c r="IM4" s="211"/>
      <c r="IN4" s="211"/>
      <c r="IO4" s="211"/>
      <c r="IP4" s="211"/>
      <c r="IQ4" s="211"/>
      <c r="IR4" s="211"/>
      <c r="IS4" s="211"/>
      <c r="IT4" s="211"/>
      <c r="IU4" s="211"/>
      <c r="IV4" s="211"/>
    </row>
    <row r="5" spans="1:256" ht="15.75">
      <c r="A5" s="258"/>
      <c r="B5" s="258"/>
      <c r="C5" s="258"/>
      <c r="D5" s="258"/>
      <c r="E5" s="258" t="s">
        <v>204</v>
      </c>
      <c r="F5" s="258" t="s">
        <v>205</v>
      </c>
      <c r="G5" s="258"/>
      <c r="H5" s="258"/>
      <c r="I5" s="258"/>
      <c r="J5" s="258"/>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1"/>
      <c r="BX5" s="211"/>
      <c r="BY5" s="211"/>
      <c r="BZ5" s="211"/>
      <c r="CA5" s="211"/>
      <c r="CB5" s="211"/>
      <c r="CC5" s="211"/>
      <c r="CD5" s="211"/>
      <c r="CE5" s="211"/>
      <c r="CF5" s="211"/>
      <c r="CG5" s="211"/>
      <c r="CH5" s="211"/>
      <c r="CI5" s="211"/>
      <c r="CJ5" s="211"/>
      <c r="CK5" s="211"/>
      <c r="CL5" s="211"/>
      <c r="CM5" s="211"/>
      <c r="CN5" s="211"/>
      <c r="CO5" s="211"/>
      <c r="CP5" s="211"/>
      <c r="CQ5" s="211"/>
      <c r="CR5" s="211"/>
      <c r="CS5" s="211"/>
      <c r="CT5" s="211"/>
      <c r="CU5" s="211"/>
      <c r="CV5" s="211"/>
      <c r="CW5" s="211"/>
      <c r="CX5" s="211"/>
      <c r="CY5" s="211"/>
      <c r="CZ5" s="211"/>
      <c r="DA5" s="211"/>
      <c r="DB5" s="211"/>
      <c r="DC5" s="211"/>
      <c r="DD5" s="211"/>
      <c r="DE5" s="211"/>
      <c r="DF5" s="211"/>
      <c r="DG5" s="211"/>
      <c r="DH5" s="211"/>
      <c r="DI5" s="211"/>
      <c r="DJ5" s="211"/>
      <c r="DK5" s="211"/>
      <c r="DL5" s="211"/>
      <c r="DM5" s="211"/>
      <c r="DN5" s="211"/>
      <c r="DO5" s="211"/>
      <c r="DP5" s="211"/>
      <c r="DQ5" s="211"/>
      <c r="DR5" s="211"/>
      <c r="DS5" s="211"/>
      <c r="DT5" s="211"/>
      <c r="DU5" s="211"/>
      <c r="DV5" s="211"/>
      <c r="DW5" s="211"/>
      <c r="DX5" s="211"/>
      <c r="DY5" s="211"/>
      <c r="DZ5" s="211"/>
      <c r="EA5" s="211"/>
      <c r="EB5" s="211"/>
      <c r="EC5" s="211"/>
      <c r="ED5" s="211"/>
      <c r="EE5" s="211"/>
      <c r="EF5" s="211"/>
      <c r="EG5" s="211"/>
      <c r="EH5" s="211"/>
      <c r="EI5" s="211"/>
      <c r="EJ5" s="211"/>
      <c r="EK5" s="211"/>
      <c r="EL5" s="211"/>
      <c r="EM5" s="211"/>
      <c r="EN5" s="211"/>
      <c r="EO5" s="211"/>
      <c r="EP5" s="211"/>
      <c r="EQ5" s="211"/>
      <c r="ER5" s="211"/>
      <c r="ES5" s="211"/>
      <c r="ET5" s="211"/>
      <c r="EU5" s="211"/>
      <c r="EV5" s="211"/>
      <c r="EW5" s="211"/>
      <c r="EX5" s="211"/>
      <c r="EY5" s="211"/>
      <c r="EZ5" s="211"/>
      <c r="FA5" s="211"/>
      <c r="FB5" s="211"/>
      <c r="FC5" s="211"/>
      <c r="FD5" s="211"/>
      <c r="FE5" s="211"/>
      <c r="FF5" s="211"/>
      <c r="FG5" s="211"/>
      <c r="FH5" s="211"/>
      <c r="FI5" s="211"/>
      <c r="FJ5" s="211"/>
      <c r="FK5" s="211"/>
      <c r="FL5" s="211"/>
      <c r="FM5" s="211"/>
      <c r="FN5" s="211"/>
      <c r="FO5" s="211"/>
      <c r="FP5" s="211"/>
      <c r="FQ5" s="211"/>
      <c r="FR5" s="211"/>
      <c r="FS5" s="211"/>
      <c r="FT5" s="211"/>
      <c r="FU5" s="211"/>
      <c r="FV5" s="211"/>
      <c r="FW5" s="211"/>
      <c r="FX5" s="211"/>
      <c r="FY5" s="211"/>
      <c r="FZ5" s="211"/>
      <c r="GA5" s="211"/>
      <c r="GB5" s="211"/>
      <c r="GC5" s="211"/>
      <c r="GD5" s="211"/>
      <c r="GE5" s="211"/>
      <c r="GF5" s="211"/>
      <c r="GG5" s="211"/>
      <c r="GH5" s="211"/>
      <c r="GI5" s="211"/>
      <c r="GJ5" s="211"/>
      <c r="GK5" s="211"/>
      <c r="GL5" s="211"/>
      <c r="GM5" s="211"/>
      <c r="GN5" s="211"/>
      <c r="GO5" s="211"/>
      <c r="GP5" s="211"/>
      <c r="GQ5" s="211"/>
      <c r="GR5" s="211"/>
      <c r="GS5" s="211"/>
      <c r="GT5" s="211"/>
      <c r="GU5" s="211"/>
      <c r="GV5" s="211"/>
      <c r="GW5" s="211"/>
      <c r="GX5" s="211"/>
      <c r="GY5" s="211"/>
      <c r="GZ5" s="211"/>
      <c r="HA5" s="211"/>
      <c r="HB5" s="211"/>
      <c r="HC5" s="211"/>
      <c r="HD5" s="211"/>
      <c r="HE5" s="211"/>
      <c r="HF5" s="211"/>
      <c r="HG5" s="211"/>
      <c r="HH5" s="211"/>
      <c r="HI5" s="211"/>
      <c r="HJ5" s="211"/>
      <c r="HK5" s="211"/>
      <c r="HL5" s="211"/>
      <c r="HM5" s="211"/>
      <c r="HN5" s="211"/>
      <c r="HO5" s="211"/>
      <c r="HP5" s="211"/>
      <c r="HQ5" s="211"/>
      <c r="HR5" s="211"/>
      <c r="HS5" s="211"/>
      <c r="HT5" s="211"/>
      <c r="HU5" s="211"/>
      <c r="HV5" s="211"/>
      <c r="HW5" s="211"/>
      <c r="HX5" s="211"/>
      <c r="HY5" s="211"/>
      <c r="HZ5" s="211"/>
      <c r="IA5" s="211"/>
      <c r="IB5" s="211"/>
      <c r="IC5" s="211"/>
      <c r="ID5" s="211"/>
      <c r="IE5" s="211"/>
      <c r="IF5" s="211"/>
      <c r="IG5" s="211"/>
      <c r="IH5" s="211"/>
      <c r="II5" s="211"/>
      <c r="IJ5" s="211"/>
      <c r="IK5" s="211"/>
      <c r="IL5" s="211"/>
      <c r="IM5" s="211"/>
      <c r="IN5" s="211"/>
      <c r="IO5" s="211"/>
      <c r="IP5" s="211"/>
      <c r="IQ5" s="211"/>
      <c r="IR5" s="211"/>
      <c r="IS5" s="211"/>
      <c r="IT5" s="211"/>
      <c r="IU5" s="211"/>
      <c r="IV5" s="211"/>
    </row>
    <row r="6" spans="1:256" ht="47.25">
      <c r="A6" s="258"/>
      <c r="B6" s="258"/>
      <c r="C6" s="258"/>
      <c r="D6" s="258"/>
      <c r="E6" s="258"/>
      <c r="F6" s="212" t="s">
        <v>97</v>
      </c>
      <c r="G6" s="213" t="s">
        <v>206</v>
      </c>
      <c r="H6" s="258"/>
      <c r="I6" s="258"/>
      <c r="J6" s="258"/>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c r="EI6" s="211"/>
      <c r="EJ6" s="211"/>
      <c r="EK6" s="211"/>
      <c r="EL6" s="211"/>
      <c r="EM6" s="211"/>
      <c r="EN6" s="211"/>
      <c r="EO6" s="211"/>
      <c r="EP6" s="211"/>
      <c r="EQ6" s="211"/>
      <c r="ER6" s="211"/>
      <c r="ES6" s="211"/>
      <c r="ET6" s="211"/>
      <c r="EU6" s="211"/>
      <c r="EV6" s="211"/>
      <c r="EW6" s="211"/>
      <c r="EX6" s="211"/>
      <c r="EY6" s="211"/>
      <c r="EZ6" s="211"/>
      <c r="FA6" s="211"/>
      <c r="FB6" s="211"/>
      <c r="FC6" s="211"/>
      <c r="FD6" s="211"/>
      <c r="FE6" s="211"/>
      <c r="FF6" s="211"/>
      <c r="FG6" s="211"/>
      <c r="FH6" s="211"/>
      <c r="FI6" s="211"/>
      <c r="FJ6" s="211"/>
      <c r="FK6" s="211"/>
      <c r="FL6" s="211"/>
      <c r="FM6" s="211"/>
      <c r="FN6" s="211"/>
      <c r="FO6" s="211"/>
      <c r="FP6" s="211"/>
      <c r="FQ6" s="211"/>
      <c r="FR6" s="211"/>
      <c r="FS6" s="211"/>
      <c r="FT6" s="211"/>
      <c r="FU6" s="211"/>
      <c r="FV6" s="211"/>
      <c r="FW6" s="211"/>
      <c r="FX6" s="211"/>
      <c r="FY6" s="211"/>
      <c r="FZ6" s="211"/>
      <c r="GA6" s="211"/>
      <c r="GB6" s="211"/>
      <c r="GC6" s="211"/>
      <c r="GD6" s="211"/>
      <c r="GE6" s="211"/>
      <c r="GF6" s="211"/>
      <c r="GG6" s="211"/>
      <c r="GH6" s="211"/>
      <c r="GI6" s="211"/>
      <c r="GJ6" s="211"/>
      <c r="GK6" s="211"/>
      <c r="GL6" s="211"/>
      <c r="GM6" s="211"/>
      <c r="GN6" s="211"/>
      <c r="GO6" s="211"/>
      <c r="GP6" s="211"/>
      <c r="GQ6" s="211"/>
      <c r="GR6" s="211"/>
      <c r="GS6" s="211"/>
      <c r="GT6" s="211"/>
      <c r="GU6" s="211"/>
      <c r="GV6" s="211"/>
      <c r="GW6" s="211"/>
      <c r="GX6" s="211"/>
      <c r="GY6" s="211"/>
      <c r="GZ6" s="211"/>
      <c r="HA6" s="211"/>
      <c r="HB6" s="211"/>
      <c r="HC6" s="211"/>
      <c r="HD6" s="211"/>
      <c r="HE6" s="211"/>
      <c r="HF6" s="211"/>
      <c r="HG6" s="211"/>
      <c r="HH6" s="211"/>
      <c r="HI6" s="211"/>
      <c r="HJ6" s="211"/>
      <c r="HK6" s="211"/>
      <c r="HL6" s="211"/>
      <c r="HM6" s="211"/>
      <c r="HN6" s="211"/>
      <c r="HO6" s="211"/>
      <c r="HP6" s="211"/>
      <c r="HQ6" s="211"/>
      <c r="HR6" s="211"/>
      <c r="HS6" s="211"/>
      <c r="HT6" s="211"/>
      <c r="HU6" s="211"/>
      <c r="HV6" s="211"/>
      <c r="HW6" s="211"/>
      <c r="HX6" s="211"/>
      <c r="HY6" s="211"/>
      <c r="HZ6" s="211"/>
      <c r="IA6" s="211"/>
      <c r="IB6" s="211"/>
      <c r="IC6" s="211"/>
      <c r="ID6" s="211"/>
      <c r="IE6" s="211"/>
      <c r="IF6" s="211"/>
      <c r="IG6" s="211"/>
      <c r="IH6" s="211"/>
      <c r="II6" s="211"/>
      <c r="IJ6" s="211"/>
      <c r="IK6" s="211"/>
      <c r="IL6" s="211"/>
      <c r="IM6" s="211"/>
      <c r="IN6" s="211"/>
      <c r="IO6" s="211"/>
      <c r="IP6" s="211"/>
      <c r="IQ6" s="211"/>
      <c r="IR6" s="211"/>
      <c r="IS6" s="211"/>
      <c r="IT6" s="211"/>
      <c r="IU6" s="211"/>
      <c r="IV6" s="211"/>
    </row>
    <row r="7" spans="1:256" ht="25.5" customHeight="1">
      <c r="A7" s="212" t="s">
        <v>5</v>
      </c>
      <c r="B7" s="212" t="s">
        <v>21</v>
      </c>
      <c r="C7" s="212">
        <v>1</v>
      </c>
      <c r="D7" s="212" t="s">
        <v>207</v>
      </c>
      <c r="E7" s="212">
        <v>3</v>
      </c>
      <c r="F7" s="212">
        <v>4</v>
      </c>
      <c r="G7" s="213">
        <v>5</v>
      </c>
      <c r="H7" s="212">
        <v>6</v>
      </c>
      <c r="I7" s="212">
        <v>8</v>
      </c>
      <c r="J7" s="212" t="s">
        <v>208</v>
      </c>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c r="BI7" s="211"/>
      <c r="BJ7" s="211"/>
      <c r="BK7" s="211"/>
      <c r="BL7" s="211"/>
      <c r="BM7" s="211"/>
      <c r="BN7" s="211"/>
      <c r="BO7" s="211"/>
      <c r="BP7" s="211"/>
      <c r="BQ7" s="211"/>
      <c r="BR7" s="211"/>
      <c r="BS7" s="211"/>
      <c r="BT7" s="211"/>
      <c r="BU7" s="211"/>
      <c r="BV7" s="211"/>
      <c r="BW7" s="211"/>
      <c r="BX7" s="211"/>
      <c r="BY7" s="211"/>
      <c r="BZ7" s="211"/>
      <c r="CA7" s="211"/>
      <c r="CB7" s="211"/>
      <c r="CC7" s="211"/>
      <c r="CD7" s="211"/>
      <c r="CE7" s="211"/>
      <c r="CF7" s="211"/>
      <c r="CG7" s="211"/>
      <c r="CH7" s="211"/>
      <c r="CI7" s="211"/>
      <c r="CJ7" s="211"/>
      <c r="CK7" s="211"/>
      <c r="CL7" s="211"/>
      <c r="CM7" s="211"/>
      <c r="CN7" s="211"/>
      <c r="CO7" s="211"/>
      <c r="CP7" s="211"/>
      <c r="CQ7" s="211"/>
      <c r="CR7" s="211"/>
      <c r="CS7" s="211"/>
      <c r="CT7" s="211"/>
      <c r="CU7" s="211"/>
      <c r="CV7" s="211"/>
      <c r="CW7" s="211"/>
      <c r="CX7" s="211"/>
      <c r="CY7" s="211"/>
      <c r="CZ7" s="211"/>
      <c r="DA7" s="211"/>
      <c r="DB7" s="211"/>
      <c r="DC7" s="211"/>
      <c r="DD7" s="211"/>
      <c r="DE7" s="211"/>
      <c r="DF7" s="211"/>
      <c r="DG7" s="211"/>
      <c r="DH7" s="211"/>
      <c r="DI7" s="211"/>
      <c r="DJ7" s="211"/>
      <c r="DK7" s="211"/>
      <c r="DL7" s="211"/>
      <c r="DM7" s="211"/>
      <c r="DN7" s="211"/>
      <c r="DO7" s="211"/>
      <c r="DP7" s="211"/>
      <c r="DQ7" s="211"/>
      <c r="DR7" s="211"/>
      <c r="DS7" s="211"/>
      <c r="DT7" s="211"/>
      <c r="DU7" s="211"/>
      <c r="DV7" s="211"/>
      <c r="DW7" s="211"/>
      <c r="DX7" s="211"/>
      <c r="DY7" s="211"/>
      <c r="DZ7" s="211"/>
      <c r="EA7" s="211"/>
      <c r="EB7" s="211"/>
      <c r="EC7" s="211"/>
      <c r="ED7" s="211"/>
      <c r="EE7" s="211"/>
      <c r="EF7" s="211"/>
      <c r="EG7" s="211"/>
      <c r="EH7" s="211"/>
      <c r="EI7" s="211"/>
      <c r="EJ7" s="211"/>
      <c r="EK7" s="211"/>
      <c r="EL7" s="211"/>
      <c r="EM7" s="211"/>
      <c r="EN7" s="211"/>
      <c r="EO7" s="211"/>
      <c r="EP7" s="211"/>
      <c r="EQ7" s="211"/>
      <c r="ER7" s="211"/>
      <c r="ES7" s="211"/>
      <c r="ET7" s="211"/>
      <c r="EU7" s="211"/>
      <c r="EV7" s="211"/>
      <c r="EW7" s="211"/>
      <c r="EX7" s="211"/>
      <c r="EY7" s="211"/>
      <c r="EZ7" s="211"/>
      <c r="FA7" s="211"/>
      <c r="FB7" s="211"/>
      <c r="FC7" s="211"/>
      <c r="FD7" s="211"/>
      <c r="FE7" s="211"/>
      <c r="FF7" s="211"/>
      <c r="FG7" s="211"/>
      <c r="FH7" s="211"/>
      <c r="FI7" s="211"/>
      <c r="FJ7" s="211"/>
      <c r="FK7" s="211"/>
      <c r="FL7" s="211"/>
      <c r="FM7" s="211"/>
      <c r="FN7" s="211"/>
      <c r="FO7" s="211"/>
      <c r="FP7" s="211"/>
      <c r="FQ7" s="211"/>
      <c r="FR7" s="211"/>
      <c r="FS7" s="211"/>
      <c r="FT7" s="211"/>
      <c r="FU7" s="211"/>
      <c r="FV7" s="211"/>
      <c r="FW7" s="211"/>
      <c r="FX7" s="211"/>
      <c r="FY7" s="211"/>
      <c r="FZ7" s="211"/>
      <c r="GA7" s="211"/>
      <c r="GB7" s="211"/>
      <c r="GC7" s="211"/>
      <c r="GD7" s="211"/>
      <c r="GE7" s="211"/>
      <c r="GF7" s="211"/>
      <c r="GG7" s="211"/>
      <c r="GH7" s="211"/>
      <c r="GI7" s="211"/>
      <c r="GJ7" s="211"/>
      <c r="GK7" s="211"/>
      <c r="GL7" s="211"/>
      <c r="GM7" s="211"/>
      <c r="GN7" s="211"/>
      <c r="GO7" s="211"/>
      <c r="GP7" s="211"/>
      <c r="GQ7" s="211"/>
      <c r="GR7" s="211"/>
      <c r="GS7" s="211"/>
      <c r="GT7" s="211"/>
      <c r="GU7" s="211"/>
      <c r="GV7" s="211"/>
      <c r="GW7" s="211"/>
      <c r="GX7" s="211"/>
      <c r="GY7" s="211"/>
      <c r="GZ7" s="211"/>
      <c r="HA7" s="211"/>
      <c r="HB7" s="211"/>
      <c r="HC7" s="211"/>
      <c r="HD7" s="211"/>
      <c r="HE7" s="211"/>
      <c r="HF7" s="211"/>
      <c r="HG7" s="211"/>
      <c r="HH7" s="211"/>
      <c r="HI7" s="211"/>
      <c r="HJ7" s="211"/>
      <c r="HK7" s="211"/>
      <c r="HL7" s="211"/>
      <c r="HM7" s="211"/>
      <c r="HN7" s="211"/>
      <c r="HO7" s="211"/>
      <c r="HP7" s="211"/>
      <c r="HQ7" s="211"/>
      <c r="HR7" s="211"/>
      <c r="HS7" s="211"/>
      <c r="HT7" s="211"/>
      <c r="HU7" s="211"/>
      <c r="HV7" s="211"/>
      <c r="HW7" s="211"/>
      <c r="HX7" s="211"/>
      <c r="HY7" s="211"/>
      <c r="HZ7" s="211"/>
      <c r="IA7" s="211"/>
      <c r="IB7" s="211"/>
      <c r="IC7" s="211"/>
      <c r="ID7" s="211"/>
      <c r="IE7" s="211"/>
      <c r="IF7" s="211"/>
      <c r="IG7" s="211"/>
      <c r="IH7" s="211"/>
      <c r="II7" s="211"/>
      <c r="IJ7" s="211"/>
      <c r="IK7" s="211"/>
      <c r="IL7" s="211"/>
      <c r="IM7" s="211"/>
      <c r="IN7" s="211"/>
      <c r="IO7" s="211"/>
      <c r="IP7" s="211"/>
      <c r="IQ7" s="211"/>
      <c r="IR7" s="211"/>
      <c r="IS7" s="211"/>
      <c r="IT7" s="211"/>
      <c r="IU7" s="211"/>
      <c r="IV7" s="211"/>
    </row>
    <row r="8" spans="1:256" ht="26.25" customHeight="1">
      <c r="A8" s="212"/>
      <c r="B8" s="214" t="s">
        <v>80</v>
      </c>
      <c r="C8" s="215">
        <f>SUM(C9:C26)</f>
        <v>1151092</v>
      </c>
      <c r="D8" s="215">
        <f>SUM(D9:D26)-1</f>
        <v>91766</v>
      </c>
      <c r="E8" s="215">
        <f aca="true" t="shared" si="0" ref="E8:J8">SUM(E9:E26)</f>
        <v>21580</v>
      </c>
      <c r="F8" s="215">
        <f t="shared" si="0"/>
        <v>0</v>
      </c>
      <c r="G8" s="213">
        <f t="shared" si="0"/>
        <v>70187</v>
      </c>
      <c r="H8" s="215">
        <f t="shared" si="0"/>
        <v>47775</v>
      </c>
      <c r="I8" s="215">
        <f t="shared" si="0"/>
        <v>0</v>
      </c>
      <c r="J8" s="213">
        <f t="shared" si="0"/>
        <v>139541</v>
      </c>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6"/>
      <c r="CE8" s="216"/>
      <c r="CF8" s="216"/>
      <c r="CG8" s="216"/>
      <c r="CH8" s="216"/>
      <c r="CI8" s="216"/>
      <c r="CJ8" s="216"/>
      <c r="CK8" s="216"/>
      <c r="CL8" s="216"/>
      <c r="CM8" s="216"/>
      <c r="CN8" s="216"/>
      <c r="CO8" s="216"/>
      <c r="CP8" s="216"/>
      <c r="CQ8" s="216"/>
      <c r="CR8" s="216"/>
      <c r="CS8" s="216"/>
      <c r="CT8" s="216"/>
      <c r="CU8" s="216"/>
      <c r="CV8" s="216"/>
      <c r="CW8" s="216"/>
      <c r="CX8" s="216"/>
      <c r="CY8" s="216"/>
      <c r="CZ8" s="216"/>
      <c r="DA8" s="216"/>
      <c r="DB8" s="216"/>
      <c r="DC8" s="216"/>
      <c r="DD8" s="216"/>
      <c r="DE8" s="216"/>
      <c r="DF8" s="216"/>
      <c r="DG8" s="216"/>
      <c r="DH8" s="216"/>
      <c r="DI8" s="216"/>
      <c r="DJ8" s="216"/>
      <c r="DK8" s="216"/>
      <c r="DL8" s="216"/>
      <c r="DM8" s="216"/>
      <c r="DN8" s="216"/>
      <c r="DO8" s="216"/>
      <c r="DP8" s="216"/>
      <c r="DQ8" s="216"/>
      <c r="DR8" s="216"/>
      <c r="DS8" s="216"/>
      <c r="DT8" s="216"/>
      <c r="DU8" s="216"/>
      <c r="DV8" s="216"/>
      <c r="DW8" s="216"/>
      <c r="DX8" s="216"/>
      <c r="DY8" s="216"/>
      <c r="DZ8" s="216"/>
      <c r="EA8" s="216"/>
      <c r="EB8" s="216"/>
      <c r="EC8" s="216"/>
      <c r="ED8" s="216"/>
      <c r="EE8" s="216"/>
      <c r="EF8" s="216"/>
      <c r="EG8" s="216"/>
      <c r="EH8" s="216"/>
      <c r="EI8" s="216"/>
      <c r="EJ8" s="216"/>
      <c r="EK8" s="216"/>
      <c r="EL8" s="216"/>
      <c r="EM8" s="216"/>
      <c r="EN8" s="216"/>
      <c r="EO8" s="216"/>
      <c r="EP8" s="216"/>
      <c r="EQ8" s="216"/>
      <c r="ER8" s="216"/>
      <c r="ES8" s="216"/>
      <c r="ET8" s="216"/>
      <c r="EU8" s="216"/>
      <c r="EV8" s="216"/>
      <c r="EW8" s="216"/>
      <c r="EX8" s="216"/>
      <c r="EY8" s="216"/>
      <c r="EZ8" s="216"/>
      <c r="FA8" s="216"/>
      <c r="FB8" s="216"/>
      <c r="FC8" s="216"/>
      <c r="FD8" s="216"/>
      <c r="FE8" s="216"/>
      <c r="FF8" s="216"/>
      <c r="FG8" s="216"/>
      <c r="FH8" s="216"/>
      <c r="FI8" s="216"/>
      <c r="FJ8" s="216"/>
      <c r="FK8" s="216"/>
      <c r="FL8" s="216"/>
      <c r="FM8" s="216"/>
      <c r="FN8" s="216"/>
      <c r="FO8" s="216"/>
      <c r="FP8" s="216"/>
      <c r="FQ8" s="216"/>
      <c r="FR8" s="216"/>
      <c r="FS8" s="216"/>
      <c r="FT8" s="216"/>
      <c r="FU8" s="216"/>
      <c r="FV8" s="216"/>
      <c r="FW8" s="216"/>
      <c r="FX8" s="216"/>
      <c r="FY8" s="216"/>
      <c r="FZ8" s="216"/>
      <c r="GA8" s="216"/>
      <c r="GB8" s="216"/>
      <c r="GC8" s="216"/>
      <c r="GD8" s="216"/>
      <c r="GE8" s="216"/>
      <c r="GF8" s="216"/>
      <c r="GG8" s="216"/>
      <c r="GH8" s="216"/>
      <c r="GI8" s="216"/>
      <c r="GJ8" s="216"/>
      <c r="GK8" s="216"/>
      <c r="GL8" s="216"/>
      <c r="GM8" s="216"/>
      <c r="GN8" s="216"/>
      <c r="GO8" s="216"/>
      <c r="GP8" s="216"/>
      <c r="GQ8" s="216"/>
      <c r="GR8" s="216"/>
      <c r="GS8" s="216"/>
      <c r="GT8" s="216"/>
      <c r="GU8" s="216"/>
      <c r="GV8" s="216"/>
      <c r="GW8" s="216"/>
      <c r="GX8" s="216"/>
      <c r="GY8" s="216"/>
      <c r="GZ8" s="216"/>
      <c r="HA8" s="216"/>
      <c r="HB8" s="216"/>
      <c r="HC8" s="216"/>
      <c r="HD8" s="216"/>
      <c r="HE8" s="216"/>
      <c r="HF8" s="216"/>
      <c r="HG8" s="216"/>
      <c r="HH8" s="216"/>
      <c r="HI8" s="216"/>
      <c r="HJ8" s="216"/>
      <c r="HK8" s="216"/>
      <c r="HL8" s="216"/>
      <c r="HM8" s="216"/>
      <c r="HN8" s="216"/>
      <c r="HO8" s="216"/>
      <c r="HP8" s="216"/>
      <c r="HQ8" s="216"/>
      <c r="HR8" s="216"/>
      <c r="HS8" s="216"/>
      <c r="HT8" s="216"/>
      <c r="HU8" s="216"/>
      <c r="HV8" s="216"/>
      <c r="HW8" s="216"/>
      <c r="HX8" s="216"/>
      <c r="HY8" s="216"/>
      <c r="HZ8" s="216"/>
      <c r="IA8" s="216"/>
      <c r="IB8" s="216"/>
      <c r="IC8" s="216"/>
      <c r="ID8" s="216"/>
      <c r="IE8" s="216"/>
      <c r="IF8" s="216"/>
      <c r="IG8" s="216"/>
      <c r="IH8" s="216"/>
      <c r="II8" s="216"/>
      <c r="IJ8" s="216"/>
      <c r="IK8" s="216"/>
      <c r="IL8" s="216"/>
      <c r="IM8" s="216"/>
      <c r="IN8" s="216"/>
      <c r="IO8" s="216"/>
      <c r="IP8" s="216"/>
      <c r="IQ8" s="216"/>
      <c r="IR8" s="216"/>
      <c r="IS8" s="216"/>
      <c r="IT8" s="216"/>
      <c r="IU8" s="216"/>
      <c r="IV8" s="216"/>
    </row>
    <row r="9" spans="1:256" ht="24.75" customHeight="1">
      <c r="A9" s="114">
        <v>1</v>
      </c>
      <c r="B9" s="217" t="s">
        <v>151</v>
      </c>
      <c r="C9" s="218">
        <v>18698</v>
      </c>
      <c r="D9" s="219">
        <f>E9+G9</f>
        <v>8298</v>
      </c>
      <c r="E9" s="218">
        <v>749</v>
      </c>
      <c r="F9" s="218"/>
      <c r="G9" s="180">
        <v>7549</v>
      </c>
      <c r="H9" s="180"/>
      <c r="I9" s="218"/>
      <c r="J9" s="180">
        <f>D9+H9+I9</f>
        <v>8298</v>
      </c>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c r="DU9" s="211"/>
      <c r="DV9" s="211"/>
      <c r="DW9" s="211"/>
      <c r="DX9" s="211"/>
      <c r="DY9" s="211"/>
      <c r="DZ9" s="211"/>
      <c r="EA9" s="211"/>
      <c r="EB9" s="211"/>
      <c r="EC9" s="211"/>
      <c r="ED9" s="211"/>
      <c r="EE9" s="211"/>
      <c r="EF9" s="211"/>
      <c r="EG9" s="211"/>
      <c r="EH9" s="211"/>
      <c r="EI9" s="211"/>
      <c r="EJ9" s="211"/>
      <c r="EK9" s="211"/>
      <c r="EL9" s="211"/>
      <c r="EM9" s="211"/>
      <c r="EN9" s="211"/>
      <c r="EO9" s="211"/>
      <c r="EP9" s="211"/>
      <c r="EQ9" s="211"/>
      <c r="ER9" s="211"/>
      <c r="ES9" s="211"/>
      <c r="ET9" s="211"/>
      <c r="EU9" s="211"/>
      <c r="EV9" s="211"/>
      <c r="EW9" s="211"/>
      <c r="EX9" s="211"/>
      <c r="EY9" s="211"/>
      <c r="EZ9" s="211"/>
      <c r="FA9" s="211"/>
      <c r="FB9" s="211"/>
      <c r="FC9" s="211"/>
      <c r="FD9" s="211"/>
      <c r="FE9" s="211"/>
      <c r="FF9" s="211"/>
      <c r="FG9" s="211"/>
      <c r="FH9" s="211"/>
      <c r="FI9" s="211"/>
      <c r="FJ9" s="211"/>
      <c r="FK9" s="211"/>
      <c r="FL9" s="211"/>
      <c r="FM9" s="211"/>
      <c r="FN9" s="211"/>
      <c r="FO9" s="211"/>
      <c r="FP9" s="211"/>
      <c r="FQ9" s="211"/>
      <c r="FR9" s="211"/>
      <c r="FS9" s="211"/>
      <c r="FT9" s="211"/>
      <c r="FU9" s="211"/>
      <c r="FV9" s="211"/>
      <c r="FW9" s="211"/>
      <c r="FX9" s="211"/>
      <c r="FY9" s="211"/>
      <c r="FZ9" s="211"/>
      <c r="GA9" s="211"/>
      <c r="GB9" s="211"/>
      <c r="GC9" s="211"/>
      <c r="GD9" s="211"/>
      <c r="GE9" s="211"/>
      <c r="GF9" s="211"/>
      <c r="GG9" s="211"/>
      <c r="GH9" s="211"/>
      <c r="GI9" s="211"/>
      <c r="GJ9" s="211"/>
      <c r="GK9" s="211"/>
      <c r="GL9" s="211"/>
      <c r="GM9" s="211"/>
      <c r="GN9" s="211"/>
      <c r="GO9" s="211"/>
      <c r="GP9" s="211"/>
      <c r="GQ9" s="211"/>
      <c r="GR9" s="211"/>
      <c r="GS9" s="211"/>
      <c r="GT9" s="211"/>
      <c r="GU9" s="211"/>
      <c r="GV9" s="211"/>
      <c r="GW9" s="211"/>
      <c r="GX9" s="211"/>
      <c r="GY9" s="211"/>
      <c r="GZ9" s="211"/>
      <c r="HA9" s="211"/>
      <c r="HB9" s="211"/>
      <c r="HC9" s="211"/>
      <c r="HD9" s="211"/>
      <c r="HE9" s="211"/>
      <c r="HF9" s="211"/>
      <c r="HG9" s="211"/>
      <c r="HH9" s="211"/>
      <c r="HI9" s="211"/>
      <c r="HJ9" s="211"/>
      <c r="HK9" s="211"/>
      <c r="HL9" s="211"/>
      <c r="HM9" s="211"/>
      <c r="HN9" s="211"/>
      <c r="HO9" s="211"/>
      <c r="HP9" s="211"/>
      <c r="HQ9" s="211"/>
      <c r="HR9" s="211"/>
      <c r="HS9" s="211"/>
      <c r="HT9" s="211"/>
      <c r="HU9" s="211"/>
      <c r="HV9" s="211"/>
      <c r="HW9" s="211"/>
      <c r="HX9" s="211"/>
      <c r="HY9" s="211"/>
      <c r="HZ9" s="211"/>
      <c r="IA9" s="211"/>
      <c r="IB9" s="211"/>
      <c r="IC9" s="211"/>
      <c r="ID9" s="211"/>
      <c r="IE9" s="211"/>
      <c r="IF9" s="211"/>
      <c r="IG9" s="211"/>
      <c r="IH9" s="211"/>
      <c r="II9" s="211"/>
      <c r="IJ9" s="211"/>
      <c r="IK9" s="211"/>
      <c r="IL9" s="211"/>
      <c r="IM9" s="211"/>
      <c r="IN9" s="211"/>
      <c r="IO9" s="211"/>
      <c r="IP9" s="211"/>
      <c r="IQ9" s="211"/>
      <c r="IR9" s="211"/>
      <c r="IS9" s="211"/>
      <c r="IT9" s="211"/>
      <c r="IU9" s="211"/>
      <c r="IV9" s="211"/>
    </row>
    <row r="10" spans="1:256" ht="24.75" customHeight="1">
      <c r="A10" s="114">
        <v>2</v>
      </c>
      <c r="B10" s="217" t="s">
        <v>152</v>
      </c>
      <c r="C10" s="218">
        <v>6655</v>
      </c>
      <c r="D10" s="219">
        <f>E10+G10</f>
        <v>4684</v>
      </c>
      <c r="E10" s="218">
        <v>428</v>
      </c>
      <c r="F10" s="218"/>
      <c r="G10" s="180">
        <v>4256</v>
      </c>
      <c r="H10" s="180">
        <v>2910</v>
      </c>
      <c r="I10" s="218"/>
      <c r="J10" s="180">
        <f>D10+H10+I10</f>
        <v>7594</v>
      </c>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c r="DQ10" s="211"/>
      <c r="DR10" s="211"/>
      <c r="DS10" s="211"/>
      <c r="DT10" s="211"/>
      <c r="DU10" s="211"/>
      <c r="DV10" s="211"/>
      <c r="DW10" s="211"/>
      <c r="DX10" s="211"/>
      <c r="DY10" s="211"/>
      <c r="DZ10" s="211"/>
      <c r="EA10" s="211"/>
      <c r="EB10" s="211"/>
      <c r="EC10" s="211"/>
      <c r="ED10" s="211"/>
      <c r="EE10" s="211"/>
      <c r="EF10" s="211"/>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11"/>
      <c r="FF10" s="211"/>
      <c r="FG10" s="211"/>
      <c r="FH10" s="211"/>
      <c r="FI10" s="211"/>
      <c r="FJ10" s="211"/>
      <c r="FK10" s="211"/>
      <c r="FL10" s="211"/>
      <c r="FM10" s="211"/>
      <c r="FN10" s="211"/>
      <c r="FO10" s="211"/>
      <c r="FP10" s="211"/>
      <c r="FQ10" s="211"/>
      <c r="FR10" s="211"/>
      <c r="FS10" s="211"/>
      <c r="FT10" s="211"/>
      <c r="FU10" s="211"/>
      <c r="FV10" s="211"/>
      <c r="FW10" s="211"/>
      <c r="FX10" s="211"/>
      <c r="FY10" s="211"/>
      <c r="FZ10" s="211"/>
      <c r="GA10" s="211"/>
      <c r="GB10" s="211"/>
      <c r="GC10" s="211"/>
      <c r="GD10" s="211"/>
      <c r="GE10" s="211"/>
      <c r="GF10" s="211"/>
      <c r="GG10" s="211"/>
      <c r="GH10" s="211"/>
      <c r="GI10" s="211"/>
      <c r="GJ10" s="211"/>
      <c r="GK10" s="211"/>
      <c r="GL10" s="211"/>
      <c r="GM10" s="211"/>
      <c r="GN10" s="211"/>
      <c r="GO10" s="211"/>
      <c r="GP10" s="211"/>
      <c r="GQ10" s="211"/>
      <c r="GR10" s="211"/>
      <c r="GS10" s="211"/>
      <c r="GT10" s="211"/>
      <c r="GU10" s="211"/>
      <c r="GV10" s="211"/>
      <c r="GW10" s="211"/>
      <c r="GX10" s="211"/>
      <c r="GY10" s="211"/>
      <c r="GZ10" s="211"/>
      <c r="HA10" s="211"/>
      <c r="HB10" s="211"/>
      <c r="HC10" s="211"/>
      <c r="HD10" s="211"/>
      <c r="HE10" s="211"/>
      <c r="HF10" s="211"/>
      <c r="HG10" s="211"/>
      <c r="HH10" s="211"/>
      <c r="HI10" s="211"/>
      <c r="HJ10" s="211"/>
      <c r="HK10" s="211"/>
      <c r="HL10" s="211"/>
      <c r="HM10" s="211"/>
      <c r="HN10" s="211"/>
      <c r="HO10" s="211"/>
      <c r="HP10" s="211"/>
      <c r="HQ10" s="211"/>
      <c r="HR10" s="211"/>
      <c r="HS10" s="211"/>
      <c r="HT10" s="211"/>
      <c r="HU10" s="211"/>
      <c r="HV10" s="211"/>
      <c r="HW10" s="211"/>
      <c r="HX10" s="211"/>
      <c r="HY10" s="211"/>
      <c r="HZ10" s="211"/>
      <c r="IA10" s="211"/>
      <c r="IB10" s="211"/>
      <c r="IC10" s="211"/>
      <c r="ID10" s="211"/>
      <c r="IE10" s="211"/>
      <c r="IF10" s="211"/>
      <c r="IG10" s="211"/>
      <c r="IH10" s="211"/>
      <c r="II10" s="211"/>
      <c r="IJ10" s="211"/>
      <c r="IK10" s="211"/>
      <c r="IL10" s="211"/>
      <c r="IM10" s="211"/>
      <c r="IN10" s="211"/>
      <c r="IO10" s="211"/>
      <c r="IP10" s="211"/>
      <c r="IQ10" s="211"/>
      <c r="IR10" s="211"/>
      <c r="IS10" s="211"/>
      <c r="IT10" s="211"/>
      <c r="IU10" s="211"/>
      <c r="IV10" s="211"/>
    </row>
    <row r="11" spans="1:256" ht="24.75" customHeight="1">
      <c r="A11" s="114">
        <v>3</v>
      </c>
      <c r="B11" s="217" t="s">
        <v>153</v>
      </c>
      <c r="C11" s="218">
        <v>1525</v>
      </c>
      <c r="D11" s="219">
        <f aca="true" t="shared" si="1" ref="D11:D26">E11+G11</f>
        <v>1015</v>
      </c>
      <c r="E11" s="218">
        <v>372</v>
      </c>
      <c r="F11" s="218"/>
      <c r="G11" s="180">
        <v>643</v>
      </c>
      <c r="H11" s="180">
        <v>5562</v>
      </c>
      <c r="I11" s="218"/>
      <c r="J11" s="180">
        <f>D11+H11+I11</f>
        <v>6577</v>
      </c>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c r="DP11" s="211"/>
      <c r="DQ11" s="211"/>
      <c r="DR11" s="211"/>
      <c r="DS11" s="211"/>
      <c r="DT11" s="211"/>
      <c r="DU11" s="211"/>
      <c r="DV11" s="211"/>
      <c r="DW11" s="211"/>
      <c r="DX11" s="211"/>
      <c r="DY11" s="211"/>
      <c r="DZ11" s="211"/>
      <c r="EA11" s="211"/>
      <c r="EB11" s="211"/>
      <c r="EC11" s="211"/>
      <c r="ED11" s="211"/>
      <c r="EE11" s="211"/>
      <c r="EF11" s="211"/>
      <c r="EG11" s="211"/>
      <c r="EH11" s="211"/>
      <c r="EI11" s="211"/>
      <c r="EJ11" s="211"/>
      <c r="EK11" s="211"/>
      <c r="EL11" s="211"/>
      <c r="EM11" s="211"/>
      <c r="EN11" s="211"/>
      <c r="EO11" s="211"/>
      <c r="EP11" s="211"/>
      <c r="EQ11" s="211"/>
      <c r="ER11" s="211"/>
      <c r="ES11" s="211"/>
      <c r="ET11" s="211"/>
      <c r="EU11" s="211"/>
      <c r="EV11" s="211"/>
      <c r="EW11" s="211"/>
      <c r="EX11" s="211"/>
      <c r="EY11" s="211"/>
      <c r="EZ11" s="211"/>
      <c r="FA11" s="211"/>
      <c r="FB11" s="211"/>
      <c r="FC11" s="211"/>
      <c r="FD11" s="211"/>
      <c r="FE11" s="211"/>
      <c r="FF11" s="211"/>
      <c r="FG11" s="211"/>
      <c r="FH11" s="211"/>
      <c r="FI11" s="211"/>
      <c r="FJ11" s="211"/>
      <c r="FK11" s="211"/>
      <c r="FL11" s="211"/>
      <c r="FM11" s="211"/>
      <c r="FN11" s="211"/>
      <c r="FO11" s="211"/>
      <c r="FP11" s="211"/>
      <c r="FQ11" s="211"/>
      <c r="FR11" s="211"/>
      <c r="FS11" s="211"/>
      <c r="FT11" s="211"/>
      <c r="FU11" s="211"/>
      <c r="FV11" s="211"/>
      <c r="FW11" s="211"/>
      <c r="FX11" s="211"/>
      <c r="FY11" s="211"/>
      <c r="FZ11" s="211"/>
      <c r="GA11" s="211"/>
      <c r="GB11" s="211"/>
      <c r="GC11" s="211"/>
      <c r="GD11" s="211"/>
      <c r="GE11" s="211"/>
      <c r="GF11" s="211"/>
      <c r="GG11" s="211"/>
      <c r="GH11" s="211"/>
      <c r="GI11" s="211"/>
      <c r="GJ11" s="211"/>
      <c r="GK11" s="211"/>
      <c r="GL11" s="211"/>
      <c r="GM11" s="211"/>
      <c r="GN11" s="211"/>
      <c r="GO11" s="211"/>
      <c r="GP11" s="211"/>
      <c r="GQ11" s="211"/>
      <c r="GR11" s="211"/>
      <c r="GS11" s="211"/>
      <c r="GT11" s="211"/>
      <c r="GU11" s="211"/>
      <c r="GV11" s="211"/>
      <c r="GW11" s="211"/>
      <c r="GX11" s="211"/>
      <c r="GY11" s="211"/>
      <c r="GZ11" s="211"/>
      <c r="HA11" s="211"/>
      <c r="HB11" s="211"/>
      <c r="HC11" s="211"/>
      <c r="HD11" s="211"/>
      <c r="HE11" s="211"/>
      <c r="HF11" s="211"/>
      <c r="HG11" s="211"/>
      <c r="HH11" s="211"/>
      <c r="HI11" s="211"/>
      <c r="HJ11" s="211"/>
      <c r="HK11" s="211"/>
      <c r="HL11" s="211"/>
      <c r="HM11" s="211"/>
      <c r="HN11" s="211"/>
      <c r="HO11" s="211"/>
      <c r="HP11" s="211"/>
      <c r="HQ11" s="211"/>
      <c r="HR11" s="211"/>
      <c r="HS11" s="211"/>
      <c r="HT11" s="211"/>
      <c r="HU11" s="211"/>
      <c r="HV11" s="211"/>
      <c r="HW11" s="211"/>
      <c r="HX11" s="211"/>
      <c r="HY11" s="211"/>
      <c r="HZ11" s="211"/>
      <c r="IA11" s="211"/>
      <c r="IB11" s="211"/>
      <c r="IC11" s="211"/>
      <c r="ID11" s="211"/>
      <c r="IE11" s="211"/>
      <c r="IF11" s="211"/>
      <c r="IG11" s="211"/>
      <c r="IH11" s="211"/>
      <c r="II11" s="211"/>
      <c r="IJ11" s="211"/>
      <c r="IK11" s="211"/>
      <c r="IL11" s="211"/>
      <c r="IM11" s="211"/>
      <c r="IN11" s="211"/>
      <c r="IO11" s="211"/>
      <c r="IP11" s="211"/>
      <c r="IQ11" s="211"/>
      <c r="IR11" s="211"/>
      <c r="IS11" s="211"/>
      <c r="IT11" s="211"/>
      <c r="IU11" s="211"/>
      <c r="IV11" s="211"/>
    </row>
    <row r="12" spans="1:256" ht="24.75" customHeight="1">
      <c r="A12" s="114">
        <v>4</v>
      </c>
      <c r="B12" s="217" t="s">
        <v>154</v>
      </c>
      <c r="C12" s="218">
        <v>548666</v>
      </c>
      <c r="D12" s="219">
        <f t="shared" si="1"/>
        <v>8828</v>
      </c>
      <c r="E12" s="218">
        <v>3100</v>
      </c>
      <c r="F12" s="218"/>
      <c r="G12" s="180">
        <v>5728</v>
      </c>
      <c r="H12" s="180"/>
      <c r="I12" s="218"/>
      <c r="J12" s="180">
        <f>D12+H12+I12</f>
        <v>8828</v>
      </c>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c r="DP12" s="211"/>
      <c r="DQ12" s="211"/>
      <c r="DR12" s="211"/>
      <c r="DS12" s="211"/>
      <c r="DT12" s="211"/>
      <c r="DU12" s="211"/>
      <c r="DV12" s="211"/>
      <c r="DW12" s="211"/>
      <c r="DX12" s="211"/>
      <c r="DY12" s="211"/>
      <c r="DZ12" s="211"/>
      <c r="EA12" s="211"/>
      <c r="EB12" s="211"/>
      <c r="EC12" s="211"/>
      <c r="ED12" s="211"/>
      <c r="EE12" s="211"/>
      <c r="EF12" s="211"/>
      <c r="EG12" s="211"/>
      <c r="EH12" s="211"/>
      <c r="EI12" s="211"/>
      <c r="EJ12" s="211"/>
      <c r="EK12" s="211"/>
      <c r="EL12" s="211"/>
      <c r="EM12" s="211"/>
      <c r="EN12" s="211"/>
      <c r="EO12" s="211"/>
      <c r="EP12" s="211"/>
      <c r="EQ12" s="211"/>
      <c r="ER12" s="211"/>
      <c r="ES12" s="211"/>
      <c r="ET12" s="211"/>
      <c r="EU12" s="211"/>
      <c r="EV12" s="211"/>
      <c r="EW12" s="211"/>
      <c r="EX12" s="211"/>
      <c r="EY12" s="211"/>
      <c r="EZ12" s="211"/>
      <c r="FA12" s="211"/>
      <c r="FB12" s="211"/>
      <c r="FC12" s="211"/>
      <c r="FD12" s="211"/>
      <c r="FE12" s="211"/>
      <c r="FF12" s="211"/>
      <c r="FG12" s="211"/>
      <c r="FH12" s="211"/>
      <c r="FI12" s="211"/>
      <c r="FJ12" s="211"/>
      <c r="FK12" s="211"/>
      <c r="FL12" s="211"/>
      <c r="FM12" s="211"/>
      <c r="FN12" s="211"/>
      <c r="FO12" s="211"/>
      <c r="FP12" s="211"/>
      <c r="FQ12" s="211"/>
      <c r="FR12" s="211"/>
      <c r="FS12" s="211"/>
      <c r="FT12" s="211"/>
      <c r="FU12" s="211"/>
      <c r="FV12" s="211"/>
      <c r="FW12" s="211"/>
      <c r="FX12" s="211"/>
      <c r="FY12" s="211"/>
      <c r="FZ12" s="211"/>
      <c r="GA12" s="211"/>
      <c r="GB12" s="211"/>
      <c r="GC12" s="211"/>
      <c r="GD12" s="211"/>
      <c r="GE12" s="211"/>
      <c r="GF12" s="211"/>
      <c r="GG12" s="211"/>
      <c r="GH12" s="211"/>
      <c r="GI12" s="211"/>
      <c r="GJ12" s="211"/>
      <c r="GK12" s="211"/>
      <c r="GL12" s="211"/>
      <c r="GM12" s="211"/>
      <c r="GN12" s="211"/>
      <c r="GO12" s="211"/>
      <c r="GP12" s="211"/>
      <c r="GQ12" s="211"/>
      <c r="GR12" s="211"/>
      <c r="GS12" s="211"/>
      <c r="GT12" s="211"/>
      <c r="GU12" s="211"/>
      <c r="GV12" s="211"/>
      <c r="GW12" s="211"/>
      <c r="GX12" s="211"/>
      <c r="GY12" s="211"/>
      <c r="GZ12" s="211"/>
      <c r="HA12" s="211"/>
      <c r="HB12" s="211"/>
      <c r="HC12" s="211"/>
      <c r="HD12" s="211"/>
      <c r="HE12" s="211"/>
      <c r="HF12" s="211"/>
      <c r="HG12" s="211"/>
      <c r="HH12" s="211"/>
      <c r="HI12" s="211"/>
      <c r="HJ12" s="211"/>
      <c r="HK12" s="211"/>
      <c r="HL12" s="211"/>
      <c r="HM12" s="211"/>
      <c r="HN12" s="211"/>
      <c r="HO12" s="211"/>
      <c r="HP12" s="211"/>
      <c r="HQ12" s="211"/>
      <c r="HR12" s="211"/>
      <c r="HS12" s="211"/>
      <c r="HT12" s="211"/>
      <c r="HU12" s="211"/>
      <c r="HV12" s="211"/>
      <c r="HW12" s="211"/>
      <c r="HX12" s="211"/>
      <c r="HY12" s="211"/>
      <c r="HZ12" s="211"/>
      <c r="IA12" s="211"/>
      <c r="IB12" s="211"/>
      <c r="IC12" s="211"/>
      <c r="ID12" s="211"/>
      <c r="IE12" s="211"/>
      <c r="IF12" s="211"/>
      <c r="IG12" s="211"/>
      <c r="IH12" s="211"/>
      <c r="II12" s="211"/>
      <c r="IJ12" s="211"/>
      <c r="IK12" s="211"/>
      <c r="IL12" s="211"/>
      <c r="IM12" s="211"/>
      <c r="IN12" s="211"/>
      <c r="IO12" s="211"/>
      <c r="IP12" s="211"/>
      <c r="IQ12" s="211"/>
      <c r="IR12" s="211"/>
      <c r="IS12" s="211"/>
      <c r="IT12" s="211"/>
      <c r="IU12" s="211"/>
      <c r="IV12" s="211"/>
    </row>
    <row r="13" spans="1:256" ht="24.75" customHeight="1">
      <c r="A13" s="114">
        <v>5</v>
      </c>
      <c r="B13" s="217" t="s">
        <v>155</v>
      </c>
      <c r="C13" s="218">
        <v>234842</v>
      </c>
      <c r="D13" s="219">
        <f t="shared" si="1"/>
        <v>9405</v>
      </c>
      <c r="E13" s="218">
        <v>2944</v>
      </c>
      <c r="F13" s="218"/>
      <c r="G13" s="180">
        <v>6461</v>
      </c>
      <c r="H13" s="180"/>
      <c r="I13" s="218"/>
      <c r="J13" s="180">
        <f>D13+H13+I13</f>
        <v>9405</v>
      </c>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c r="DQ13" s="211"/>
      <c r="DR13" s="211"/>
      <c r="DS13" s="211"/>
      <c r="DT13" s="211"/>
      <c r="DU13" s="211"/>
      <c r="DV13" s="211"/>
      <c r="DW13" s="211"/>
      <c r="DX13" s="211"/>
      <c r="DY13" s="211"/>
      <c r="DZ13" s="211"/>
      <c r="EA13" s="211"/>
      <c r="EB13" s="211"/>
      <c r="EC13" s="211"/>
      <c r="ED13" s="211"/>
      <c r="EE13" s="211"/>
      <c r="EF13" s="211"/>
      <c r="EG13" s="211"/>
      <c r="EH13" s="211"/>
      <c r="EI13" s="211"/>
      <c r="EJ13" s="211"/>
      <c r="EK13" s="211"/>
      <c r="EL13" s="211"/>
      <c r="EM13" s="211"/>
      <c r="EN13" s="211"/>
      <c r="EO13" s="211"/>
      <c r="EP13" s="211"/>
      <c r="EQ13" s="211"/>
      <c r="ER13" s="211"/>
      <c r="ES13" s="211"/>
      <c r="ET13" s="211"/>
      <c r="EU13" s="211"/>
      <c r="EV13" s="211"/>
      <c r="EW13" s="211"/>
      <c r="EX13" s="211"/>
      <c r="EY13" s="211"/>
      <c r="EZ13" s="211"/>
      <c r="FA13" s="211"/>
      <c r="FB13" s="211"/>
      <c r="FC13" s="211"/>
      <c r="FD13" s="211"/>
      <c r="FE13" s="211"/>
      <c r="FF13" s="211"/>
      <c r="FG13" s="211"/>
      <c r="FH13" s="211"/>
      <c r="FI13" s="211"/>
      <c r="FJ13" s="211"/>
      <c r="FK13" s="211"/>
      <c r="FL13" s="211"/>
      <c r="FM13" s="211"/>
      <c r="FN13" s="211"/>
      <c r="FO13" s="211"/>
      <c r="FP13" s="211"/>
      <c r="FQ13" s="211"/>
      <c r="FR13" s="211"/>
      <c r="FS13" s="211"/>
      <c r="FT13" s="211"/>
      <c r="FU13" s="211"/>
      <c r="FV13" s="211"/>
      <c r="FW13" s="211"/>
      <c r="FX13" s="211"/>
      <c r="FY13" s="211"/>
      <c r="FZ13" s="211"/>
      <c r="GA13" s="211"/>
      <c r="GB13" s="211"/>
      <c r="GC13" s="211"/>
      <c r="GD13" s="211"/>
      <c r="GE13" s="211"/>
      <c r="GF13" s="211"/>
      <c r="GG13" s="211"/>
      <c r="GH13" s="211"/>
      <c r="GI13" s="211"/>
      <c r="GJ13" s="211"/>
      <c r="GK13" s="211"/>
      <c r="GL13" s="211"/>
      <c r="GM13" s="211"/>
      <c r="GN13" s="211"/>
      <c r="GO13" s="211"/>
      <c r="GP13" s="211"/>
      <c r="GQ13" s="211"/>
      <c r="GR13" s="211"/>
      <c r="GS13" s="211"/>
      <c r="GT13" s="211"/>
      <c r="GU13" s="211"/>
      <c r="GV13" s="211"/>
      <c r="GW13" s="211"/>
      <c r="GX13" s="211"/>
      <c r="GY13" s="211"/>
      <c r="GZ13" s="211"/>
      <c r="HA13" s="211"/>
      <c r="HB13" s="211"/>
      <c r="HC13" s="211"/>
      <c r="HD13" s="211"/>
      <c r="HE13" s="211"/>
      <c r="HF13" s="211"/>
      <c r="HG13" s="211"/>
      <c r="HH13" s="211"/>
      <c r="HI13" s="211"/>
      <c r="HJ13" s="211"/>
      <c r="HK13" s="211"/>
      <c r="HL13" s="211"/>
      <c r="HM13" s="211"/>
      <c r="HN13" s="211"/>
      <c r="HO13" s="211"/>
      <c r="HP13" s="211"/>
      <c r="HQ13" s="211"/>
      <c r="HR13" s="211"/>
      <c r="HS13" s="211"/>
      <c r="HT13" s="211"/>
      <c r="HU13" s="211"/>
      <c r="HV13" s="211"/>
      <c r="HW13" s="211"/>
      <c r="HX13" s="211"/>
      <c r="HY13" s="211"/>
      <c r="HZ13" s="211"/>
      <c r="IA13" s="211"/>
      <c r="IB13" s="211"/>
      <c r="IC13" s="211"/>
      <c r="ID13" s="211"/>
      <c r="IE13" s="211"/>
      <c r="IF13" s="211"/>
      <c r="IG13" s="211"/>
      <c r="IH13" s="211"/>
      <c r="II13" s="211"/>
      <c r="IJ13" s="211"/>
      <c r="IK13" s="211"/>
      <c r="IL13" s="211"/>
      <c r="IM13" s="211"/>
      <c r="IN13" s="211"/>
      <c r="IO13" s="211"/>
      <c r="IP13" s="211"/>
      <c r="IQ13" s="211"/>
      <c r="IR13" s="211"/>
      <c r="IS13" s="211"/>
      <c r="IT13" s="211"/>
      <c r="IU13" s="211"/>
      <c r="IV13" s="211"/>
    </row>
    <row r="14" spans="1:256" ht="24.75" customHeight="1">
      <c r="A14" s="114">
        <v>6</v>
      </c>
      <c r="B14" s="217" t="s">
        <v>156</v>
      </c>
      <c r="C14" s="218">
        <v>3752</v>
      </c>
      <c r="D14" s="219">
        <f t="shared" si="1"/>
        <v>2520</v>
      </c>
      <c r="E14" s="218">
        <v>639</v>
      </c>
      <c r="F14" s="218"/>
      <c r="G14" s="180">
        <v>1881</v>
      </c>
      <c r="H14" s="180">
        <v>4385</v>
      </c>
      <c r="I14" s="218"/>
      <c r="J14" s="180">
        <f>D14+H14+I14-1</f>
        <v>6904</v>
      </c>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c r="DP14" s="211"/>
      <c r="DQ14" s="211"/>
      <c r="DR14" s="211"/>
      <c r="DS14" s="211"/>
      <c r="DT14" s="211"/>
      <c r="DU14" s="211"/>
      <c r="DV14" s="211"/>
      <c r="DW14" s="211"/>
      <c r="DX14" s="211"/>
      <c r="DY14" s="211"/>
      <c r="DZ14" s="211"/>
      <c r="EA14" s="211"/>
      <c r="EB14" s="211"/>
      <c r="EC14" s="211"/>
      <c r="ED14" s="211"/>
      <c r="EE14" s="211"/>
      <c r="EF14" s="211"/>
      <c r="EG14" s="211"/>
      <c r="EH14" s="211"/>
      <c r="EI14" s="211"/>
      <c r="EJ14" s="211"/>
      <c r="EK14" s="211"/>
      <c r="EL14" s="211"/>
      <c r="EM14" s="211"/>
      <c r="EN14" s="211"/>
      <c r="EO14" s="211"/>
      <c r="EP14" s="211"/>
      <c r="EQ14" s="211"/>
      <c r="ER14" s="211"/>
      <c r="ES14" s="211"/>
      <c r="ET14" s="211"/>
      <c r="EU14" s="211"/>
      <c r="EV14" s="211"/>
      <c r="EW14" s="211"/>
      <c r="EX14" s="211"/>
      <c r="EY14" s="211"/>
      <c r="EZ14" s="211"/>
      <c r="FA14" s="211"/>
      <c r="FB14" s="211"/>
      <c r="FC14" s="211"/>
      <c r="FD14" s="211"/>
      <c r="FE14" s="211"/>
      <c r="FF14" s="211"/>
      <c r="FG14" s="211"/>
      <c r="FH14" s="211"/>
      <c r="FI14" s="211"/>
      <c r="FJ14" s="211"/>
      <c r="FK14" s="211"/>
      <c r="FL14" s="211"/>
      <c r="FM14" s="211"/>
      <c r="FN14" s="211"/>
      <c r="FO14" s="211"/>
      <c r="FP14" s="211"/>
      <c r="FQ14" s="211"/>
      <c r="FR14" s="211"/>
      <c r="FS14" s="211"/>
      <c r="FT14" s="211"/>
      <c r="FU14" s="211"/>
      <c r="FV14" s="211"/>
      <c r="FW14" s="211"/>
      <c r="FX14" s="211"/>
      <c r="FY14" s="211"/>
      <c r="FZ14" s="211"/>
      <c r="GA14" s="211"/>
      <c r="GB14" s="211"/>
      <c r="GC14" s="211"/>
      <c r="GD14" s="211"/>
      <c r="GE14" s="211"/>
      <c r="GF14" s="211"/>
      <c r="GG14" s="211"/>
      <c r="GH14" s="211"/>
      <c r="GI14" s="211"/>
      <c r="GJ14" s="211"/>
      <c r="GK14" s="211"/>
      <c r="GL14" s="211"/>
      <c r="GM14" s="211"/>
      <c r="GN14" s="211"/>
      <c r="GO14" s="211"/>
      <c r="GP14" s="211"/>
      <c r="GQ14" s="211"/>
      <c r="GR14" s="211"/>
      <c r="GS14" s="211"/>
      <c r="GT14" s="211"/>
      <c r="GU14" s="211"/>
      <c r="GV14" s="211"/>
      <c r="GW14" s="211"/>
      <c r="GX14" s="211"/>
      <c r="GY14" s="211"/>
      <c r="GZ14" s="211"/>
      <c r="HA14" s="211"/>
      <c r="HB14" s="211"/>
      <c r="HC14" s="211"/>
      <c r="HD14" s="211"/>
      <c r="HE14" s="211"/>
      <c r="HF14" s="211"/>
      <c r="HG14" s="211"/>
      <c r="HH14" s="211"/>
      <c r="HI14" s="211"/>
      <c r="HJ14" s="211"/>
      <c r="HK14" s="211"/>
      <c r="HL14" s="211"/>
      <c r="HM14" s="211"/>
      <c r="HN14" s="211"/>
      <c r="HO14" s="211"/>
      <c r="HP14" s="211"/>
      <c r="HQ14" s="211"/>
      <c r="HR14" s="211"/>
      <c r="HS14" s="211"/>
      <c r="HT14" s="211"/>
      <c r="HU14" s="211"/>
      <c r="HV14" s="211"/>
      <c r="HW14" s="211"/>
      <c r="HX14" s="211"/>
      <c r="HY14" s="211"/>
      <c r="HZ14" s="211"/>
      <c r="IA14" s="211"/>
      <c r="IB14" s="211"/>
      <c r="IC14" s="211"/>
      <c r="ID14" s="211"/>
      <c r="IE14" s="211"/>
      <c r="IF14" s="211"/>
      <c r="IG14" s="211"/>
      <c r="IH14" s="211"/>
      <c r="II14" s="211"/>
      <c r="IJ14" s="211"/>
      <c r="IK14" s="211"/>
      <c r="IL14" s="211"/>
      <c r="IM14" s="211"/>
      <c r="IN14" s="211"/>
      <c r="IO14" s="211"/>
      <c r="IP14" s="211"/>
      <c r="IQ14" s="211"/>
      <c r="IR14" s="211"/>
      <c r="IS14" s="211"/>
      <c r="IT14" s="211"/>
      <c r="IU14" s="211"/>
      <c r="IV14" s="211"/>
    </row>
    <row r="15" spans="1:256" ht="24.75" customHeight="1">
      <c r="A15" s="114">
        <v>7</v>
      </c>
      <c r="B15" s="217" t="s">
        <v>157</v>
      </c>
      <c r="C15" s="218">
        <v>15645</v>
      </c>
      <c r="D15" s="219">
        <f t="shared" si="1"/>
        <v>3118</v>
      </c>
      <c r="E15" s="218">
        <v>425</v>
      </c>
      <c r="F15" s="218"/>
      <c r="G15" s="180">
        <v>2693</v>
      </c>
      <c r="H15" s="180">
        <v>4835</v>
      </c>
      <c r="I15" s="218"/>
      <c r="J15" s="180">
        <f>D15+H15+I15</f>
        <v>7953</v>
      </c>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211"/>
      <c r="DM15" s="211"/>
      <c r="DN15" s="211"/>
      <c r="DO15" s="211"/>
      <c r="DP15" s="211"/>
      <c r="DQ15" s="211"/>
      <c r="DR15" s="211"/>
      <c r="DS15" s="211"/>
      <c r="DT15" s="211"/>
      <c r="DU15" s="211"/>
      <c r="DV15" s="211"/>
      <c r="DW15" s="211"/>
      <c r="DX15" s="211"/>
      <c r="DY15" s="211"/>
      <c r="DZ15" s="211"/>
      <c r="EA15" s="211"/>
      <c r="EB15" s="211"/>
      <c r="EC15" s="211"/>
      <c r="ED15" s="211"/>
      <c r="EE15" s="211"/>
      <c r="EF15" s="211"/>
      <c r="EG15" s="211"/>
      <c r="EH15" s="211"/>
      <c r="EI15" s="211"/>
      <c r="EJ15" s="211"/>
      <c r="EK15" s="211"/>
      <c r="EL15" s="211"/>
      <c r="EM15" s="211"/>
      <c r="EN15" s="211"/>
      <c r="EO15" s="211"/>
      <c r="EP15" s="211"/>
      <c r="EQ15" s="211"/>
      <c r="ER15" s="211"/>
      <c r="ES15" s="211"/>
      <c r="ET15" s="211"/>
      <c r="EU15" s="211"/>
      <c r="EV15" s="211"/>
      <c r="EW15" s="211"/>
      <c r="EX15" s="211"/>
      <c r="EY15" s="211"/>
      <c r="EZ15" s="211"/>
      <c r="FA15" s="211"/>
      <c r="FB15" s="211"/>
      <c r="FC15" s="211"/>
      <c r="FD15" s="211"/>
      <c r="FE15" s="211"/>
      <c r="FF15" s="211"/>
      <c r="FG15" s="211"/>
      <c r="FH15" s="211"/>
      <c r="FI15" s="211"/>
      <c r="FJ15" s="211"/>
      <c r="FK15" s="211"/>
      <c r="FL15" s="211"/>
      <c r="FM15" s="211"/>
      <c r="FN15" s="211"/>
      <c r="FO15" s="211"/>
      <c r="FP15" s="211"/>
      <c r="FQ15" s="211"/>
      <c r="FR15" s="211"/>
      <c r="FS15" s="211"/>
      <c r="FT15" s="211"/>
      <c r="FU15" s="211"/>
      <c r="FV15" s="211"/>
      <c r="FW15" s="211"/>
      <c r="FX15" s="211"/>
      <c r="FY15" s="211"/>
      <c r="FZ15" s="211"/>
      <c r="GA15" s="211"/>
      <c r="GB15" s="211"/>
      <c r="GC15" s="211"/>
      <c r="GD15" s="211"/>
      <c r="GE15" s="211"/>
      <c r="GF15" s="211"/>
      <c r="GG15" s="211"/>
      <c r="GH15" s="211"/>
      <c r="GI15" s="211"/>
      <c r="GJ15" s="211"/>
      <c r="GK15" s="211"/>
      <c r="GL15" s="211"/>
      <c r="GM15" s="211"/>
      <c r="GN15" s="211"/>
      <c r="GO15" s="211"/>
      <c r="GP15" s="211"/>
      <c r="GQ15" s="211"/>
      <c r="GR15" s="211"/>
      <c r="GS15" s="211"/>
      <c r="GT15" s="211"/>
      <c r="GU15" s="211"/>
      <c r="GV15" s="211"/>
      <c r="GW15" s="211"/>
      <c r="GX15" s="211"/>
      <c r="GY15" s="211"/>
      <c r="GZ15" s="211"/>
      <c r="HA15" s="211"/>
      <c r="HB15" s="211"/>
      <c r="HC15" s="211"/>
      <c r="HD15" s="211"/>
      <c r="HE15" s="211"/>
      <c r="HF15" s="211"/>
      <c r="HG15" s="211"/>
      <c r="HH15" s="211"/>
      <c r="HI15" s="211"/>
      <c r="HJ15" s="211"/>
      <c r="HK15" s="211"/>
      <c r="HL15" s="211"/>
      <c r="HM15" s="211"/>
      <c r="HN15" s="211"/>
      <c r="HO15" s="211"/>
      <c r="HP15" s="211"/>
      <c r="HQ15" s="211"/>
      <c r="HR15" s="211"/>
      <c r="HS15" s="211"/>
      <c r="HT15" s="211"/>
      <c r="HU15" s="211"/>
      <c r="HV15" s="211"/>
      <c r="HW15" s="211"/>
      <c r="HX15" s="211"/>
      <c r="HY15" s="211"/>
      <c r="HZ15" s="211"/>
      <c r="IA15" s="211"/>
      <c r="IB15" s="211"/>
      <c r="IC15" s="211"/>
      <c r="ID15" s="211"/>
      <c r="IE15" s="211"/>
      <c r="IF15" s="211"/>
      <c r="IG15" s="211"/>
      <c r="IH15" s="211"/>
      <c r="II15" s="211"/>
      <c r="IJ15" s="211"/>
      <c r="IK15" s="211"/>
      <c r="IL15" s="211"/>
      <c r="IM15" s="211"/>
      <c r="IN15" s="211"/>
      <c r="IO15" s="211"/>
      <c r="IP15" s="211"/>
      <c r="IQ15" s="211"/>
      <c r="IR15" s="211"/>
      <c r="IS15" s="211"/>
      <c r="IT15" s="211"/>
      <c r="IU15" s="211"/>
      <c r="IV15" s="211"/>
    </row>
    <row r="16" spans="1:256" ht="24.75" customHeight="1">
      <c r="A16" s="114">
        <v>8</v>
      </c>
      <c r="B16" s="217" t="s">
        <v>158</v>
      </c>
      <c r="C16" s="218">
        <v>2540</v>
      </c>
      <c r="D16" s="219">
        <f t="shared" si="1"/>
        <v>1708</v>
      </c>
      <c r="E16" s="218">
        <v>577</v>
      </c>
      <c r="F16" s="218"/>
      <c r="G16" s="180">
        <v>1131</v>
      </c>
      <c r="H16" s="180">
        <v>6009</v>
      </c>
      <c r="I16" s="218"/>
      <c r="J16" s="180">
        <f>D16+H16+I16</f>
        <v>7717</v>
      </c>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1"/>
      <c r="ER16" s="211"/>
      <c r="ES16" s="211"/>
      <c r="ET16" s="211"/>
      <c r="EU16" s="211"/>
      <c r="EV16" s="211"/>
      <c r="EW16" s="211"/>
      <c r="EX16" s="211"/>
      <c r="EY16" s="211"/>
      <c r="EZ16" s="211"/>
      <c r="FA16" s="211"/>
      <c r="FB16" s="211"/>
      <c r="FC16" s="211"/>
      <c r="FD16" s="211"/>
      <c r="FE16" s="211"/>
      <c r="FF16" s="211"/>
      <c r="FG16" s="211"/>
      <c r="FH16" s="211"/>
      <c r="FI16" s="211"/>
      <c r="FJ16" s="211"/>
      <c r="FK16" s="211"/>
      <c r="FL16" s="211"/>
      <c r="FM16" s="211"/>
      <c r="FN16" s="211"/>
      <c r="FO16" s="211"/>
      <c r="FP16" s="211"/>
      <c r="FQ16" s="211"/>
      <c r="FR16" s="211"/>
      <c r="FS16" s="211"/>
      <c r="FT16" s="211"/>
      <c r="FU16" s="211"/>
      <c r="FV16" s="211"/>
      <c r="FW16" s="211"/>
      <c r="FX16" s="211"/>
      <c r="FY16" s="211"/>
      <c r="FZ16" s="211"/>
      <c r="GA16" s="211"/>
      <c r="GB16" s="211"/>
      <c r="GC16" s="211"/>
      <c r="GD16" s="211"/>
      <c r="GE16" s="211"/>
      <c r="GF16" s="211"/>
      <c r="GG16" s="211"/>
      <c r="GH16" s="211"/>
      <c r="GI16" s="211"/>
      <c r="GJ16" s="211"/>
      <c r="GK16" s="211"/>
      <c r="GL16" s="211"/>
      <c r="GM16" s="211"/>
      <c r="GN16" s="211"/>
      <c r="GO16" s="211"/>
      <c r="GP16" s="211"/>
      <c r="GQ16" s="211"/>
      <c r="GR16" s="211"/>
      <c r="GS16" s="211"/>
      <c r="GT16" s="211"/>
      <c r="GU16" s="211"/>
      <c r="GV16" s="211"/>
      <c r="GW16" s="211"/>
      <c r="GX16" s="211"/>
      <c r="GY16" s="211"/>
      <c r="GZ16" s="211"/>
      <c r="HA16" s="211"/>
      <c r="HB16" s="211"/>
      <c r="HC16" s="211"/>
      <c r="HD16" s="211"/>
      <c r="HE16" s="211"/>
      <c r="HF16" s="211"/>
      <c r="HG16" s="211"/>
      <c r="HH16" s="211"/>
      <c r="HI16" s="211"/>
      <c r="HJ16" s="211"/>
      <c r="HK16" s="211"/>
      <c r="HL16" s="211"/>
      <c r="HM16" s="211"/>
      <c r="HN16" s="211"/>
      <c r="HO16" s="211"/>
      <c r="HP16" s="211"/>
      <c r="HQ16" s="211"/>
      <c r="HR16" s="211"/>
      <c r="HS16" s="211"/>
      <c r="HT16" s="211"/>
      <c r="HU16" s="211"/>
      <c r="HV16" s="211"/>
      <c r="HW16" s="211"/>
      <c r="HX16" s="211"/>
      <c r="HY16" s="211"/>
      <c r="HZ16" s="211"/>
      <c r="IA16" s="211"/>
      <c r="IB16" s="211"/>
      <c r="IC16" s="211"/>
      <c r="ID16" s="211"/>
      <c r="IE16" s="211"/>
      <c r="IF16" s="211"/>
      <c r="IG16" s="211"/>
      <c r="IH16" s="211"/>
      <c r="II16" s="211"/>
      <c r="IJ16" s="211"/>
      <c r="IK16" s="211"/>
      <c r="IL16" s="211"/>
      <c r="IM16" s="211"/>
      <c r="IN16" s="211"/>
      <c r="IO16" s="211"/>
      <c r="IP16" s="211"/>
      <c r="IQ16" s="211"/>
      <c r="IR16" s="211"/>
      <c r="IS16" s="211"/>
      <c r="IT16" s="211"/>
      <c r="IU16" s="211"/>
      <c r="IV16" s="211"/>
    </row>
    <row r="17" spans="1:256" ht="24.75" customHeight="1">
      <c r="A17" s="114">
        <v>9</v>
      </c>
      <c r="B17" s="217" t="s">
        <v>159</v>
      </c>
      <c r="C17" s="218">
        <v>3750</v>
      </c>
      <c r="D17" s="219">
        <f t="shared" si="1"/>
        <v>2640</v>
      </c>
      <c r="E17" s="218">
        <v>398</v>
      </c>
      <c r="F17" s="218"/>
      <c r="G17" s="180">
        <v>2242</v>
      </c>
      <c r="H17" s="180">
        <v>4923</v>
      </c>
      <c r="I17" s="218"/>
      <c r="J17" s="180">
        <f>D17+H17+I17</f>
        <v>7563</v>
      </c>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c r="DQ17" s="211"/>
      <c r="DR17" s="211"/>
      <c r="DS17" s="211"/>
      <c r="DT17" s="211"/>
      <c r="DU17" s="211"/>
      <c r="DV17" s="211"/>
      <c r="DW17" s="211"/>
      <c r="DX17" s="211"/>
      <c r="DY17" s="211"/>
      <c r="DZ17" s="211"/>
      <c r="EA17" s="211"/>
      <c r="EB17" s="211"/>
      <c r="EC17" s="211"/>
      <c r="ED17" s="211"/>
      <c r="EE17" s="211"/>
      <c r="EF17" s="211"/>
      <c r="EG17" s="211"/>
      <c r="EH17" s="211"/>
      <c r="EI17" s="211"/>
      <c r="EJ17" s="211"/>
      <c r="EK17" s="211"/>
      <c r="EL17" s="211"/>
      <c r="EM17" s="211"/>
      <c r="EN17" s="211"/>
      <c r="EO17" s="211"/>
      <c r="EP17" s="211"/>
      <c r="EQ17" s="211"/>
      <c r="ER17" s="211"/>
      <c r="ES17" s="211"/>
      <c r="ET17" s="211"/>
      <c r="EU17" s="211"/>
      <c r="EV17" s="211"/>
      <c r="EW17" s="211"/>
      <c r="EX17" s="211"/>
      <c r="EY17" s="211"/>
      <c r="EZ17" s="211"/>
      <c r="FA17" s="211"/>
      <c r="FB17" s="211"/>
      <c r="FC17" s="211"/>
      <c r="FD17" s="211"/>
      <c r="FE17" s="211"/>
      <c r="FF17" s="211"/>
      <c r="FG17" s="211"/>
      <c r="FH17" s="211"/>
      <c r="FI17" s="211"/>
      <c r="FJ17" s="211"/>
      <c r="FK17" s="211"/>
      <c r="FL17" s="211"/>
      <c r="FM17" s="211"/>
      <c r="FN17" s="211"/>
      <c r="FO17" s="211"/>
      <c r="FP17" s="211"/>
      <c r="FQ17" s="211"/>
      <c r="FR17" s="211"/>
      <c r="FS17" s="211"/>
      <c r="FT17" s="211"/>
      <c r="FU17" s="211"/>
      <c r="FV17" s="211"/>
      <c r="FW17" s="211"/>
      <c r="FX17" s="211"/>
      <c r="FY17" s="211"/>
      <c r="FZ17" s="211"/>
      <c r="GA17" s="211"/>
      <c r="GB17" s="211"/>
      <c r="GC17" s="211"/>
      <c r="GD17" s="211"/>
      <c r="GE17" s="211"/>
      <c r="GF17" s="211"/>
      <c r="GG17" s="211"/>
      <c r="GH17" s="211"/>
      <c r="GI17" s="211"/>
      <c r="GJ17" s="211"/>
      <c r="GK17" s="211"/>
      <c r="GL17" s="211"/>
      <c r="GM17" s="211"/>
      <c r="GN17" s="211"/>
      <c r="GO17" s="211"/>
      <c r="GP17" s="211"/>
      <c r="GQ17" s="211"/>
      <c r="GR17" s="211"/>
      <c r="GS17" s="211"/>
      <c r="GT17" s="211"/>
      <c r="GU17" s="211"/>
      <c r="GV17" s="211"/>
      <c r="GW17" s="211"/>
      <c r="GX17" s="211"/>
      <c r="GY17" s="211"/>
      <c r="GZ17" s="211"/>
      <c r="HA17" s="211"/>
      <c r="HB17" s="211"/>
      <c r="HC17" s="211"/>
      <c r="HD17" s="211"/>
      <c r="HE17" s="211"/>
      <c r="HF17" s="211"/>
      <c r="HG17" s="211"/>
      <c r="HH17" s="211"/>
      <c r="HI17" s="211"/>
      <c r="HJ17" s="211"/>
      <c r="HK17" s="211"/>
      <c r="HL17" s="211"/>
      <c r="HM17" s="211"/>
      <c r="HN17" s="211"/>
      <c r="HO17" s="211"/>
      <c r="HP17" s="211"/>
      <c r="HQ17" s="211"/>
      <c r="HR17" s="211"/>
      <c r="HS17" s="211"/>
      <c r="HT17" s="211"/>
      <c r="HU17" s="211"/>
      <c r="HV17" s="211"/>
      <c r="HW17" s="211"/>
      <c r="HX17" s="211"/>
      <c r="HY17" s="211"/>
      <c r="HZ17" s="211"/>
      <c r="IA17" s="211"/>
      <c r="IB17" s="211"/>
      <c r="IC17" s="211"/>
      <c r="ID17" s="211"/>
      <c r="IE17" s="211"/>
      <c r="IF17" s="211"/>
      <c r="IG17" s="211"/>
      <c r="IH17" s="211"/>
      <c r="II17" s="211"/>
      <c r="IJ17" s="211"/>
      <c r="IK17" s="211"/>
      <c r="IL17" s="211"/>
      <c r="IM17" s="211"/>
      <c r="IN17" s="211"/>
      <c r="IO17" s="211"/>
      <c r="IP17" s="211"/>
      <c r="IQ17" s="211"/>
      <c r="IR17" s="211"/>
      <c r="IS17" s="211"/>
      <c r="IT17" s="211"/>
      <c r="IU17" s="211"/>
      <c r="IV17" s="211"/>
    </row>
    <row r="18" spans="1:256" ht="24.75" customHeight="1">
      <c r="A18" s="114">
        <v>10</v>
      </c>
      <c r="B18" s="217" t="s">
        <v>160</v>
      </c>
      <c r="C18" s="218">
        <v>4878</v>
      </c>
      <c r="D18" s="219">
        <f t="shared" si="1"/>
        <v>3456</v>
      </c>
      <c r="E18" s="218">
        <v>440</v>
      </c>
      <c r="F18" s="218"/>
      <c r="G18" s="180">
        <v>3016</v>
      </c>
      <c r="H18" s="180">
        <v>3351</v>
      </c>
      <c r="I18" s="218"/>
      <c r="J18" s="180">
        <f>D18+H18+I18</f>
        <v>6807</v>
      </c>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c r="EI18" s="211"/>
      <c r="EJ18" s="211"/>
      <c r="EK18" s="211"/>
      <c r="EL18" s="211"/>
      <c r="EM18" s="211"/>
      <c r="EN18" s="211"/>
      <c r="EO18" s="211"/>
      <c r="EP18" s="211"/>
      <c r="EQ18" s="211"/>
      <c r="ER18" s="211"/>
      <c r="ES18" s="211"/>
      <c r="ET18" s="211"/>
      <c r="EU18" s="211"/>
      <c r="EV18" s="211"/>
      <c r="EW18" s="211"/>
      <c r="EX18" s="211"/>
      <c r="EY18" s="211"/>
      <c r="EZ18" s="211"/>
      <c r="FA18" s="211"/>
      <c r="FB18" s="211"/>
      <c r="FC18" s="211"/>
      <c r="FD18" s="211"/>
      <c r="FE18" s="211"/>
      <c r="FF18" s="211"/>
      <c r="FG18" s="211"/>
      <c r="FH18" s="211"/>
      <c r="FI18" s="211"/>
      <c r="FJ18" s="211"/>
      <c r="FK18" s="211"/>
      <c r="FL18" s="211"/>
      <c r="FM18" s="211"/>
      <c r="FN18" s="211"/>
      <c r="FO18" s="211"/>
      <c r="FP18" s="211"/>
      <c r="FQ18" s="211"/>
      <c r="FR18" s="211"/>
      <c r="FS18" s="211"/>
      <c r="FT18" s="211"/>
      <c r="FU18" s="211"/>
      <c r="FV18" s="211"/>
      <c r="FW18" s="211"/>
      <c r="FX18" s="211"/>
      <c r="FY18" s="211"/>
      <c r="FZ18" s="211"/>
      <c r="GA18" s="211"/>
      <c r="GB18" s="211"/>
      <c r="GC18" s="211"/>
      <c r="GD18" s="211"/>
      <c r="GE18" s="211"/>
      <c r="GF18" s="211"/>
      <c r="GG18" s="211"/>
      <c r="GH18" s="211"/>
      <c r="GI18" s="211"/>
      <c r="GJ18" s="211"/>
      <c r="GK18" s="211"/>
      <c r="GL18" s="211"/>
      <c r="GM18" s="211"/>
      <c r="GN18" s="211"/>
      <c r="GO18" s="211"/>
      <c r="GP18" s="211"/>
      <c r="GQ18" s="211"/>
      <c r="GR18" s="211"/>
      <c r="GS18" s="211"/>
      <c r="GT18" s="211"/>
      <c r="GU18" s="211"/>
      <c r="GV18" s="211"/>
      <c r="GW18" s="211"/>
      <c r="GX18" s="211"/>
      <c r="GY18" s="211"/>
      <c r="GZ18" s="211"/>
      <c r="HA18" s="211"/>
      <c r="HB18" s="211"/>
      <c r="HC18" s="211"/>
      <c r="HD18" s="211"/>
      <c r="HE18" s="211"/>
      <c r="HF18" s="211"/>
      <c r="HG18" s="211"/>
      <c r="HH18" s="211"/>
      <c r="HI18" s="211"/>
      <c r="HJ18" s="211"/>
      <c r="HK18" s="211"/>
      <c r="HL18" s="211"/>
      <c r="HM18" s="211"/>
      <c r="HN18" s="211"/>
      <c r="HO18" s="211"/>
      <c r="HP18" s="211"/>
      <c r="HQ18" s="211"/>
      <c r="HR18" s="211"/>
      <c r="HS18" s="211"/>
      <c r="HT18" s="211"/>
      <c r="HU18" s="211"/>
      <c r="HV18" s="211"/>
      <c r="HW18" s="211"/>
      <c r="HX18" s="211"/>
      <c r="HY18" s="211"/>
      <c r="HZ18" s="211"/>
      <c r="IA18" s="211"/>
      <c r="IB18" s="211"/>
      <c r="IC18" s="211"/>
      <c r="ID18" s="211"/>
      <c r="IE18" s="211"/>
      <c r="IF18" s="211"/>
      <c r="IG18" s="211"/>
      <c r="IH18" s="211"/>
      <c r="II18" s="211"/>
      <c r="IJ18" s="211"/>
      <c r="IK18" s="211"/>
      <c r="IL18" s="211"/>
      <c r="IM18" s="211"/>
      <c r="IN18" s="211"/>
      <c r="IO18" s="211"/>
      <c r="IP18" s="211"/>
      <c r="IQ18" s="211"/>
      <c r="IR18" s="211"/>
      <c r="IS18" s="211"/>
      <c r="IT18" s="211"/>
      <c r="IU18" s="211"/>
      <c r="IV18" s="211"/>
    </row>
    <row r="19" spans="1:256" ht="24.75" customHeight="1">
      <c r="A19" s="114">
        <v>11</v>
      </c>
      <c r="B19" s="217" t="s">
        <v>161</v>
      </c>
      <c r="C19" s="218">
        <v>5724</v>
      </c>
      <c r="D19" s="219">
        <f t="shared" si="1"/>
        <v>3917</v>
      </c>
      <c r="E19" s="218">
        <v>464</v>
      </c>
      <c r="F19" s="218"/>
      <c r="G19" s="180">
        <v>3453</v>
      </c>
      <c r="H19" s="180">
        <v>3012</v>
      </c>
      <c r="I19" s="218"/>
      <c r="J19" s="180">
        <f>D19+H19+I19+1</f>
        <v>6930</v>
      </c>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c r="EI19" s="211"/>
      <c r="EJ19" s="211"/>
      <c r="EK19" s="211"/>
      <c r="EL19" s="211"/>
      <c r="EM19" s="211"/>
      <c r="EN19" s="211"/>
      <c r="EO19" s="211"/>
      <c r="EP19" s="211"/>
      <c r="EQ19" s="211"/>
      <c r="ER19" s="211"/>
      <c r="ES19" s="211"/>
      <c r="ET19" s="211"/>
      <c r="EU19" s="211"/>
      <c r="EV19" s="211"/>
      <c r="EW19" s="211"/>
      <c r="EX19" s="211"/>
      <c r="EY19" s="211"/>
      <c r="EZ19" s="211"/>
      <c r="FA19" s="211"/>
      <c r="FB19" s="211"/>
      <c r="FC19" s="211"/>
      <c r="FD19" s="211"/>
      <c r="FE19" s="211"/>
      <c r="FF19" s="211"/>
      <c r="FG19" s="211"/>
      <c r="FH19" s="211"/>
      <c r="FI19" s="211"/>
      <c r="FJ19" s="211"/>
      <c r="FK19" s="211"/>
      <c r="FL19" s="211"/>
      <c r="FM19" s="211"/>
      <c r="FN19" s="211"/>
      <c r="FO19" s="211"/>
      <c r="FP19" s="211"/>
      <c r="FQ19" s="211"/>
      <c r="FR19" s="211"/>
      <c r="FS19" s="211"/>
      <c r="FT19" s="211"/>
      <c r="FU19" s="211"/>
      <c r="FV19" s="211"/>
      <c r="FW19" s="211"/>
      <c r="FX19" s="211"/>
      <c r="FY19" s="211"/>
      <c r="FZ19" s="211"/>
      <c r="GA19" s="211"/>
      <c r="GB19" s="211"/>
      <c r="GC19" s="211"/>
      <c r="GD19" s="211"/>
      <c r="GE19" s="211"/>
      <c r="GF19" s="211"/>
      <c r="GG19" s="211"/>
      <c r="GH19" s="211"/>
      <c r="GI19" s="211"/>
      <c r="GJ19" s="211"/>
      <c r="GK19" s="211"/>
      <c r="GL19" s="211"/>
      <c r="GM19" s="211"/>
      <c r="GN19" s="211"/>
      <c r="GO19" s="211"/>
      <c r="GP19" s="211"/>
      <c r="GQ19" s="211"/>
      <c r="GR19" s="211"/>
      <c r="GS19" s="211"/>
      <c r="GT19" s="211"/>
      <c r="GU19" s="211"/>
      <c r="GV19" s="211"/>
      <c r="GW19" s="211"/>
      <c r="GX19" s="211"/>
      <c r="GY19" s="211"/>
      <c r="GZ19" s="211"/>
      <c r="HA19" s="211"/>
      <c r="HB19" s="211"/>
      <c r="HC19" s="211"/>
      <c r="HD19" s="211"/>
      <c r="HE19" s="211"/>
      <c r="HF19" s="211"/>
      <c r="HG19" s="211"/>
      <c r="HH19" s="211"/>
      <c r="HI19" s="211"/>
      <c r="HJ19" s="211"/>
      <c r="HK19" s="211"/>
      <c r="HL19" s="211"/>
      <c r="HM19" s="211"/>
      <c r="HN19" s="211"/>
      <c r="HO19" s="211"/>
      <c r="HP19" s="211"/>
      <c r="HQ19" s="211"/>
      <c r="HR19" s="211"/>
      <c r="HS19" s="211"/>
      <c r="HT19" s="211"/>
      <c r="HU19" s="211"/>
      <c r="HV19" s="211"/>
      <c r="HW19" s="211"/>
      <c r="HX19" s="211"/>
      <c r="HY19" s="211"/>
      <c r="HZ19" s="211"/>
      <c r="IA19" s="211"/>
      <c r="IB19" s="211"/>
      <c r="IC19" s="211"/>
      <c r="ID19" s="211"/>
      <c r="IE19" s="211"/>
      <c r="IF19" s="211"/>
      <c r="IG19" s="211"/>
      <c r="IH19" s="211"/>
      <c r="II19" s="211"/>
      <c r="IJ19" s="211"/>
      <c r="IK19" s="211"/>
      <c r="IL19" s="211"/>
      <c r="IM19" s="211"/>
      <c r="IN19" s="211"/>
      <c r="IO19" s="211"/>
      <c r="IP19" s="211"/>
      <c r="IQ19" s="211"/>
      <c r="IR19" s="211"/>
      <c r="IS19" s="211"/>
      <c r="IT19" s="211"/>
      <c r="IU19" s="211"/>
      <c r="IV19" s="211"/>
    </row>
    <row r="20" spans="1:256" ht="24.75" customHeight="1">
      <c r="A20" s="114">
        <v>12</v>
      </c>
      <c r="B20" s="217" t="s">
        <v>162</v>
      </c>
      <c r="C20" s="218">
        <v>6666</v>
      </c>
      <c r="D20" s="219">
        <f t="shared" si="1"/>
        <v>4570</v>
      </c>
      <c r="E20" s="218">
        <v>526</v>
      </c>
      <c r="F20" s="218"/>
      <c r="G20" s="180">
        <v>4044</v>
      </c>
      <c r="H20" s="180">
        <v>2356</v>
      </c>
      <c r="I20" s="218"/>
      <c r="J20" s="180">
        <f>D20+H20+I20</f>
        <v>6926</v>
      </c>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1"/>
      <c r="CL20" s="211"/>
      <c r="CM20" s="211"/>
      <c r="CN20" s="211"/>
      <c r="CO20" s="211"/>
      <c r="CP20" s="211"/>
      <c r="CQ20" s="211"/>
      <c r="CR20" s="211"/>
      <c r="CS20" s="211"/>
      <c r="CT20" s="211"/>
      <c r="CU20" s="211"/>
      <c r="CV20" s="211"/>
      <c r="CW20" s="211"/>
      <c r="CX20" s="211"/>
      <c r="CY20" s="211"/>
      <c r="CZ20" s="211"/>
      <c r="DA20" s="211"/>
      <c r="DB20" s="211"/>
      <c r="DC20" s="211"/>
      <c r="DD20" s="211"/>
      <c r="DE20" s="211"/>
      <c r="DF20" s="211"/>
      <c r="DG20" s="211"/>
      <c r="DH20" s="211"/>
      <c r="DI20" s="211"/>
      <c r="DJ20" s="211"/>
      <c r="DK20" s="211"/>
      <c r="DL20" s="211"/>
      <c r="DM20" s="211"/>
      <c r="DN20" s="211"/>
      <c r="DO20" s="211"/>
      <c r="DP20" s="211"/>
      <c r="DQ20" s="211"/>
      <c r="DR20" s="211"/>
      <c r="DS20" s="211"/>
      <c r="DT20" s="211"/>
      <c r="DU20" s="211"/>
      <c r="DV20" s="211"/>
      <c r="DW20" s="211"/>
      <c r="DX20" s="211"/>
      <c r="DY20" s="211"/>
      <c r="DZ20" s="211"/>
      <c r="EA20" s="211"/>
      <c r="EB20" s="211"/>
      <c r="EC20" s="211"/>
      <c r="ED20" s="211"/>
      <c r="EE20" s="211"/>
      <c r="EF20" s="211"/>
      <c r="EG20" s="211"/>
      <c r="EH20" s="211"/>
      <c r="EI20" s="211"/>
      <c r="EJ20" s="211"/>
      <c r="EK20" s="211"/>
      <c r="EL20" s="211"/>
      <c r="EM20" s="211"/>
      <c r="EN20" s="211"/>
      <c r="EO20" s="211"/>
      <c r="EP20" s="211"/>
      <c r="EQ20" s="211"/>
      <c r="ER20" s="211"/>
      <c r="ES20" s="211"/>
      <c r="ET20" s="211"/>
      <c r="EU20" s="211"/>
      <c r="EV20" s="211"/>
      <c r="EW20" s="211"/>
      <c r="EX20" s="211"/>
      <c r="EY20" s="211"/>
      <c r="EZ20" s="211"/>
      <c r="FA20" s="211"/>
      <c r="FB20" s="211"/>
      <c r="FC20" s="211"/>
      <c r="FD20" s="211"/>
      <c r="FE20" s="211"/>
      <c r="FF20" s="211"/>
      <c r="FG20" s="211"/>
      <c r="FH20" s="211"/>
      <c r="FI20" s="211"/>
      <c r="FJ20" s="211"/>
      <c r="FK20" s="211"/>
      <c r="FL20" s="211"/>
      <c r="FM20" s="211"/>
      <c r="FN20" s="211"/>
      <c r="FO20" s="211"/>
      <c r="FP20" s="211"/>
      <c r="FQ20" s="211"/>
      <c r="FR20" s="211"/>
      <c r="FS20" s="211"/>
      <c r="FT20" s="211"/>
      <c r="FU20" s="211"/>
      <c r="FV20" s="211"/>
      <c r="FW20" s="211"/>
      <c r="FX20" s="211"/>
      <c r="FY20" s="211"/>
      <c r="FZ20" s="211"/>
      <c r="GA20" s="211"/>
      <c r="GB20" s="211"/>
      <c r="GC20" s="211"/>
      <c r="GD20" s="211"/>
      <c r="GE20" s="211"/>
      <c r="GF20" s="211"/>
      <c r="GG20" s="211"/>
      <c r="GH20" s="211"/>
      <c r="GI20" s="211"/>
      <c r="GJ20" s="211"/>
      <c r="GK20" s="211"/>
      <c r="GL20" s="211"/>
      <c r="GM20" s="211"/>
      <c r="GN20" s="211"/>
      <c r="GO20" s="211"/>
      <c r="GP20" s="211"/>
      <c r="GQ20" s="211"/>
      <c r="GR20" s="211"/>
      <c r="GS20" s="211"/>
      <c r="GT20" s="211"/>
      <c r="GU20" s="211"/>
      <c r="GV20" s="211"/>
      <c r="GW20" s="211"/>
      <c r="GX20" s="211"/>
      <c r="GY20" s="211"/>
      <c r="GZ20" s="211"/>
      <c r="HA20" s="211"/>
      <c r="HB20" s="211"/>
      <c r="HC20" s="211"/>
      <c r="HD20" s="211"/>
      <c r="HE20" s="211"/>
      <c r="HF20" s="211"/>
      <c r="HG20" s="211"/>
      <c r="HH20" s="211"/>
      <c r="HI20" s="211"/>
      <c r="HJ20" s="211"/>
      <c r="HK20" s="211"/>
      <c r="HL20" s="211"/>
      <c r="HM20" s="211"/>
      <c r="HN20" s="211"/>
      <c r="HO20" s="211"/>
      <c r="HP20" s="211"/>
      <c r="HQ20" s="211"/>
      <c r="HR20" s="211"/>
      <c r="HS20" s="211"/>
      <c r="HT20" s="211"/>
      <c r="HU20" s="211"/>
      <c r="HV20" s="211"/>
      <c r="HW20" s="211"/>
      <c r="HX20" s="211"/>
      <c r="HY20" s="211"/>
      <c r="HZ20" s="211"/>
      <c r="IA20" s="211"/>
      <c r="IB20" s="211"/>
      <c r="IC20" s="211"/>
      <c r="ID20" s="211"/>
      <c r="IE20" s="211"/>
      <c r="IF20" s="211"/>
      <c r="IG20" s="211"/>
      <c r="IH20" s="211"/>
      <c r="II20" s="211"/>
      <c r="IJ20" s="211"/>
      <c r="IK20" s="211"/>
      <c r="IL20" s="211"/>
      <c r="IM20" s="211"/>
      <c r="IN20" s="211"/>
      <c r="IO20" s="211"/>
      <c r="IP20" s="211"/>
      <c r="IQ20" s="211"/>
      <c r="IR20" s="211"/>
      <c r="IS20" s="211"/>
      <c r="IT20" s="211"/>
      <c r="IU20" s="211"/>
      <c r="IV20" s="211"/>
    </row>
    <row r="21" spans="1:256" ht="24.75" customHeight="1">
      <c r="A21" s="114">
        <v>13</v>
      </c>
      <c r="B21" s="217" t="s">
        <v>163</v>
      </c>
      <c r="C21" s="218">
        <v>46513</v>
      </c>
      <c r="D21" s="219">
        <f t="shared" si="1"/>
        <v>8593</v>
      </c>
      <c r="E21" s="218">
        <v>2089</v>
      </c>
      <c r="F21" s="218"/>
      <c r="G21" s="180">
        <v>6504</v>
      </c>
      <c r="H21" s="180"/>
      <c r="I21" s="218"/>
      <c r="J21" s="180">
        <f>D21+H21+I21</f>
        <v>8593</v>
      </c>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c r="DV21" s="211"/>
      <c r="DW21" s="211"/>
      <c r="DX21" s="211"/>
      <c r="DY21" s="211"/>
      <c r="DZ21" s="211"/>
      <c r="EA21" s="211"/>
      <c r="EB21" s="211"/>
      <c r="EC21" s="211"/>
      <c r="ED21" s="211"/>
      <c r="EE21" s="211"/>
      <c r="EF21" s="211"/>
      <c r="EG21" s="211"/>
      <c r="EH21" s="211"/>
      <c r="EI21" s="211"/>
      <c r="EJ21" s="211"/>
      <c r="EK21" s="211"/>
      <c r="EL21" s="211"/>
      <c r="EM21" s="211"/>
      <c r="EN21" s="211"/>
      <c r="EO21" s="211"/>
      <c r="EP21" s="211"/>
      <c r="EQ21" s="211"/>
      <c r="ER21" s="211"/>
      <c r="ES21" s="211"/>
      <c r="ET21" s="211"/>
      <c r="EU21" s="211"/>
      <c r="EV21" s="211"/>
      <c r="EW21" s="211"/>
      <c r="EX21" s="211"/>
      <c r="EY21" s="211"/>
      <c r="EZ21" s="211"/>
      <c r="FA21" s="211"/>
      <c r="FB21" s="211"/>
      <c r="FC21" s="211"/>
      <c r="FD21" s="211"/>
      <c r="FE21" s="211"/>
      <c r="FF21" s="211"/>
      <c r="FG21" s="211"/>
      <c r="FH21" s="211"/>
      <c r="FI21" s="211"/>
      <c r="FJ21" s="211"/>
      <c r="FK21" s="211"/>
      <c r="FL21" s="211"/>
      <c r="FM21" s="211"/>
      <c r="FN21" s="211"/>
      <c r="FO21" s="211"/>
      <c r="FP21" s="211"/>
      <c r="FQ21" s="211"/>
      <c r="FR21" s="211"/>
      <c r="FS21" s="211"/>
      <c r="FT21" s="211"/>
      <c r="FU21" s="211"/>
      <c r="FV21" s="211"/>
      <c r="FW21" s="211"/>
      <c r="FX21" s="211"/>
      <c r="FY21" s="211"/>
      <c r="FZ21" s="211"/>
      <c r="GA21" s="211"/>
      <c r="GB21" s="211"/>
      <c r="GC21" s="211"/>
      <c r="GD21" s="211"/>
      <c r="GE21" s="211"/>
      <c r="GF21" s="211"/>
      <c r="GG21" s="211"/>
      <c r="GH21" s="211"/>
      <c r="GI21" s="211"/>
      <c r="GJ21" s="211"/>
      <c r="GK21" s="211"/>
      <c r="GL21" s="211"/>
      <c r="GM21" s="211"/>
      <c r="GN21" s="211"/>
      <c r="GO21" s="211"/>
      <c r="GP21" s="211"/>
      <c r="GQ21" s="211"/>
      <c r="GR21" s="211"/>
      <c r="GS21" s="211"/>
      <c r="GT21" s="211"/>
      <c r="GU21" s="211"/>
      <c r="GV21" s="211"/>
      <c r="GW21" s="211"/>
      <c r="GX21" s="211"/>
      <c r="GY21" s="211"/>
      <c r="GZ21" s="211"/>
      <c r="HA21" s="211"/>
      <c r="HB21" s="211"/>
      <c r="HC21" s="211"/>
      <c r="HD21" s="211"/>
      <c r="HE21" s="211"/>
      <c r="HF21" s="211"/>
      <c r="HG21" s="211"/>
      <c r="HH21" s="211"/>
      <c r="HI21" s="211"/>
      <c r="HJ21" s="211"/>
      <c r="HK21" s="211"/>
      <c r="HL21" s="211"/>
      <c r="HM21" s="211"/>
      <c r="HN21" s="211"/>
      <c r="HO21" s="211"/>
      <c r="HP21" s="211"/>
      <c r="HQ21" s="211"/>
      <c r="HR21" s="211"/>
      <c r="HS21" s="211"/>
      <c r="HT21" s="211"/>
      <c r="HU21" s="211"/>
      <c r="HV21" s="211"/>
      <c r="HW21" s="211"/>
      <c r="HX21" s="211"/>
      <c r="HY21" s="211"/>
      <c r="HZ21" s="211"/>
      <c r="IA21" s="211"/>
      <c r="IB21" s="211"/>
      <c r="IC21" s="211"/>
      <c r="ID21" s="211"/>
      <c r="IE21" s="211"/>
      <c r="IF21" s="211"/>
      <c r="IG21" s="211"/>
      <c r="IH21" s="211"/>
      <c r="II21" s="211"/>
      <c r="IJ21" s="211"/>
      <c r="IK21" s="211"/>
      <c r="IL21" s="211"/>
      <c r="IM21" s="211"/>
      <c r="IN21" s="211"/>
      <c r="IO21" s="211"/>
      <c r="IP21" s="211"/>
      <c r="IQ21" s="211"/>
      <c r="IR21" s="211"/>
      <c r="IS21" s="211"/>
      <c r="IT21" s="211"/>
      <c r="IU21" s="211"/>
      <c r="IV21" s="211"/>
    </row>
    <row r="22" spans="1:256" ht="24.75" customHeight="1">
      <c r="A22" s="114">
        <v>14</v>
      </c>
      <c r="B22" s="217" t="s">
        <v>164</v>
      </c>
      <c r="C22" s="218">
        <v>61318</v>
      </c>
      <c r="D22" s="219">
        <f t="shared" si="1"/>
        <v>6893</v>
      </c>
      <c r="E22" s="218">
        <v>466</v>
      </c>
      <c r="F22" s="218"/>
      <c r="G22" s="180">
        <v>6427</v>
      </c>
      <c r="H22" s="180"/>
      <c r="I22" s="218"/>
      <c r="J22" s="180">
        <f>D22+H22+I22</f>
        <v>6893</v>
      </c>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c r="CX22" s="211"/>
      <c r="CY22" s="211"/>
      <c r="CZ22" s="211"/>
      <c r="DA22" s="211"/>
      <c r="DB22" s="211"/>
      <c r="DC22" s="211"/>
      <c r="DD22" s="211"/>
      <c r="DE22" s="211"/>
      <c r="DF22" s="211"/>
      <c r="DG22" s="211"/>
      <c r="DH22" s="211"/>
      <c r="DI22" s="211"/>
      <c r="DJ22" s="211"/>
      <c r="DK22" s="211"/>
      <c r="DL22" s="211"/>
      <c r="DM22" s="211"/>
      <c r="DN22" s="211"/>
      <c r="DO22" s="211"/>
      <c r="DP22" s="211"/>
      <c r="DQ22" s="211"/>
      <c r="DR22" s="211"/>
      <c r="DS22" s="211"/>
      <c r="DT22" s="211"/>
      <c r="DU22" s="211"/>
      <c r="DV22" s="211"/>
      <c r="DW22" s="211"/>
      <c r="DX22" s="211"/>
      <c r="DY22" s="211"/>
      <c r="DZ22" s="211"/>
      <c r="EA22" s="211"/>
      <c r="EB22" s="211"/>
      <c r="EC22" s="211"/>
      <c r="ED22" s="211"/>
      <c r="EE22" s="211"/>
      <c r="EF22" s="211"/>
      <c r="EG22" s="211"/>
      <c r="EH22" s="211"/>
      <c r="EI22" s="211"/>
      <c r="EJ22" s="211"/>
      <c r="EK22" s="211"/>
      <c r="EL22" s="211"/>
      <c r="EM22" s="211"/>
      <c r="EN22" s="211"/>
      <c r="EO22" s="211"/>
      <c r="EP22" s="211"/>
      <c r="EQ22" s="211"/>
      <c r="ER22" s="211"/>
      <c r="ES22" s="211"/>
      <c r="ET22" s="211"/>
      <c r="EU22" s="211"/>
      <c r="EV22" s="211"/>
      <c r="EW22" s="211"/>
      <c r="EX22" s="211"/>
      <c r="EY22" s="211"/>
      <c r="EZ22" s="211"/>
      <c r="FA22" s="211"/>
      <c r="FB22" s="211"/>
      <c r="FC22" s="211"/>
      <c r="FD22" s="211"/>
      <c r="FE22" s="211"/>
      <c r="FF22" s="211"/>
      <c r="FG22" s="211"/>
      <c r="FH22" s="211"/>
      <c r="FI22" s="211"/>
      <c r="FJ22" s="211"/>
      <c r="FK22" s="211"/>
      <c r="FL22" s="211"/>
      <c r="FM22" s="211"/>
      <c r="FN22" s="211"/>
      <c r="FO22" s="211"/>
      <c r="FP22" s="211"/>
      <c r="FQ22" s="211"/>
      <c r="FR22" s="211"/>
      <c r="FS22" s="211"/>
      <c r="FT22" s="211"/>
      <c r="FU22" s="211"/>
      <c r="FV22" s="211"/>
      <c r="FW22" s="211"/>
      <c r="FX22" s="211"/>
      <c r="FY22" s="211"/>
      <c r="FZ22" s="211"/>
      <c r="GA22" s="211"/>
      <c r="GB22" s="211"/>
      <c r="GC22" s="211"/>
      <c r="GD22" s="211"/>
      <c r="GE22" s="211"/>
      <c r="GF22" s="211"/>
      <c r="GG22" s="211"/>
      <c r="GH22" s="211"/>
      <c r="GI22" s="211"/>
      <c r="GJ22" s="211"/>
      <c r="GK22" s="211"/>
      <c r="GL22" s="211"/>
      <c r="GM22" s="211"/>
      <c r="GN22" s="211"/>
      <c r="GO22" s="211"/>
      <c r="GP22" s="211"/>
      <c r="GQ22" s="211"/>
      <c r="GR22" s="211"/>
      <c r="GS22" s="211"/>
      <c r="GT22" s="211"/>
      <c r="GU22" s="211"/>
      <c r="GV22" s="211"/>
      <c r="GW22" s="211"/>
      <c r="GX22" s="211"/>
      <c r="GY22" s="211"/>
      <c r="GZ22" s="211"/>
      <c r="HA22" s="211"/>
      <c r="HB22" s="211"/>
      <c r="HC22" s="211"/>
      <c r="HD22" s="211"/>
      <c r="HE22" s="211"/>
      <c r="HF22" s="211"/>
      <c r="HG22" s="211"/>
      <c r="HH22" s="211"/>
      <c r="HI22" s="211"/>
      <c r="HJ22" s="211"/>
      <c r="HK22" s="211"/>
      <c r="HL22" s="211"/>
      <c r="HM22" s="211"/>
      <c r="HN22" s="211"/>
      <c r="HO22" s="211"/>
      <c r="HP22" s="211"/>
      <c r="HQ22" s="211"/>
      <c r="HR22" s="211"/>
      <c r="HS22" s="211"/>
      <c r="HT22" s="211"/>
      <c r="HU22" s="211"/>
      <c r="HV22" s="211"/>
      <c r="HW22" s="211"/>
      <c r="HX22" s="211"/>
      <c r="HY22" s="211"/>
      <c r="HZ22" s="211"/>
      <c r="IA22" s="211"/>
      <c r="IB22" s="211"/>
      <c r="IC22" s="211"/>
      <c r="ID22" s="211"/>
      <c r="IE22" s="211"/>
      <c r="IF22" s="211"/>
      <c r="IG22" s="211"/>
      <c r="IH22" s="211"/>
      <c r="II22" s="211"/>
      <c r="IJ22" s="211"/>
      <c r="IK22" s="211"/>
      <c r="IL22" s="211"/>
      <c r="IM22" s="211"/>
      <c r="IN22" s="211"/>
      <c r="IO22" s="211"/>
      <c r="IP22" s="211"/>
      <c r="IQ22" s="211"/>
      <c r="IR22" s="211"/>
      <c r="IS22" s="211"/>
      <c r="IT22" s="211"/>
      <c r="IU22" s="211"/>
      <c r="IV22" s="211"/>
    </row>
    <row r="23" spans="1:256" ht="24.75" customHeight="1">
      <c r="A23" s="114">
        <v>15</v>
      </c>
      <c r="B23" s="217" t="s">
        <v>165</v>
      </c>
      <c r="C23" s="218">
        <v>3256</v>
      </c>
      <c r="D23" s="219">
        <f t="shared" si="1"/>
        <v>2370</v>
      </c>
      <c r="E23" s="218">
        <v>611</v>
      </c>
      <c r="F23" s="218"/>
      <c r="G23" s="180">
        <v>1759</v>
      </c>
      <c r="H23" s="180">
        <v>4626</v>
      </c>
      <c r="I23" s="218"/>
      <c r="J23" s="180">
        <f>D23+H23+I23</f>
        <v>6996</v>
      </c>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c r="CP23" s="211"/>
      <c r="CQ23" s="211"/>
      <c r="CR23" s="211"/>
      <c r="CS23" s="211"/>
      <c r="CT23" s="211"/>
      <c r="CU23" s="211"/>
      <c r="CV23" s="211"/>
      <c r="CW23" s="211"/>
      <c r="CX23" s="211"/>
      <c r="CY23" s="211"/>
      <c r="CZ23" s="211"/>
      <c r="DA23" s="211"/>
      <c r="DB23" s="211"/>
      <c r="DC23" s="211"/>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c r="EI23" s="211"/>
      <c r="EJ23" s="211"/>
      <c r="EK23" s="211"/>
      <c r="EL23" s="211"/>
      <c r="EM23" s="211"/>
      <c r="EN23" s="211"/>
      <c r="EO23" s="211"/>
      <c r="EP23" s="211"/>
      <c r="EQ23" s="211"/>
      <c r="ER23" s="211"/>
      <c r="ES23" s="211"/>
      <c r="ET23" s="211"/>
      <c r="EU23" s="211"/>
      <c r="EV23" s="211"/>
      <c r="EW23" s="211"/>
      <c r="EX23" s="211"/>
      <c r="EY23" s="211"/>
      <c r="EZ23" s="211"/>
      <c r="FA23" s="211"/>
      <c r="FB23" s="211"/>
      <c r="FC23" s="211"/>
      <c r="FD23" s="211"/>
      <c r="FE23" s="211"/>
      <c r="FF23" s="211"/>
      <c r="FG23" s="211"/>
      <c r="FH23" s="211"/>
      <c r="FI23" s="211"/>
      <c r="FJ23" s="211"/>
      <c r="FK23" s="211"/>
      <c r="FL23" s="211"/>
      <c r="FM23" s="211"/>
      <c r="FN23" s="211"/>
      <c r="FO23" s="211"/>
      <c r="FP23" s="211"/>
      <c r="FQ23" s="211"/>
      <c r="FR23" s="211"/>
      <c r="FS23" s="211"/>
      <c r="FT23" s="211"/>
      <c r="FU23" s="211"/>
      <c r="FV23" s="211"/>
      <c r="FW23" s="211"/>
      <c r="FX23" s="211"/>
      <c r="FY23" s="211"/>
      <c r="FZ23" s="211"/>
      <c r="GA23" s="211"/>
      <c r="GB23" s="211"/>
      <c r="GC23" s="211"/>
      <c r="GD23" s="211"/>
      <c r="GE23" s="211"/>
      <c r="GF23" s="211"/>
      <c r="GG23" s="211"/>
      <c r="GH23" s="211"/>
      <c r="GI23" s="211"/>
      <c r="GJ23" s="211"/>
      <c r="GK23" s="211"/>
      <c r="GL23" s="211"/>
      <c r="GM23" s="211"/>
      <c r="GN23" s="211"/>
      <c r="GO23" s="211"/>
      <c r="GP23" s="211"/>
      <c r="GQ23" s="211"/>
      <c r="GR23" s="211"/>
      <c r="GS23" s="211"/>
      <c r="GT23" s="211"/>
      <c r="GU23" s="211"/>
      <c r="GV23" s="211"/>
      <c r="GW23" s="211"/>
      <c r="GX23" s="211"/>
      <c r="GY23" s="211"/>
      <c r="GZ23" s="211"/>
      <c r="HA23" s="211"/>
      <c r="HB23" s="211"/>
      <c r="HC23" s="211"/>
      <c r="HD23" s="211"/>
      <c r="HE23" s="211"/>
      <c r="HF23" s="211"/>
      <c r="HG23" s="211"/>
      <c r="HH23" s="211"/>
      <c r="HI23" s="211"/>
      <c r="HJ23" s="211"/>
      <c r="HK23" s="211"/>
      <c r="HL23" s="211"/>
      <c r="HM23" s="211"/>
      <c r="HN23" s="211"/>
      <c r="HO23" s="211"/>
      <c r="HP23" s="211"/>
      <c r="HQ23" s="211"/>
      <c r="HR23" s="211"/>
      <c r="HS23" s="211"/>
      <c r="HT23" s="211"/>
      <c r="HU23" s="211"/>
      <c r="HV23" s="211"/>
      <c r="HW23" s="211"/>
      <c r="HX23" s="211"/>
      <c r="HY23" s="211"/>
      <c r="HZ23" s="211"/>
      <c r="IA23" s="211"/>
      <c r="IB23" s="211"/>
      <c r="IC23" s="211"/>
      <c r="ID23" s="211"/>
      <c r="IE23" s="211"/>
      <c r="IF23" s="211"/>
      <c r="IG23" s="211"/>
      <c r="IH23" s="211"/>
      <c r="II23" s="211"/>
      <c r="IJ23" s="211"/>
      <c r="IK23" s="211"/>
      <c r="IL23" s="211"/>
      <c r="IM23" s="211"/>
      <c r="IN23" s="211"/>
      <c r="IO23" s="211"/>
      <c r="IP23" s="211"/>
      <c r="IQ23" s="211"/>
      <c r="IR23" s="211"/>
      <c r="IS23" s="211"/>
      <c r="IT23" s="211"/>
      <c r="IU23" s="211"/>
      <c r="IV23" s="211"/>
    </row>
    <row r="24" spans="1:256" ht="24.75" customHeight="1">
      <c r="A24" s="114">
        <v>16</v>
      </c>
      <c r="B24" s="217" t="s">
        <v>166</v>
      </c>
      <c r="C24" s="218">
        <v>110655</v>
      </c>
      <c r="D24" s="219">
        <f t="shared" si="1"/>
        <v>7025</v>
      </c>
      <c r="E24" s="218">
        <v>1622</v>
      </c>
      <c r="F24" s="218"/>
      <c r="G24" s="180">
        <v>5403</v>
      </c>
      <c r="H24" s="180"/>
      <c r="I24" s="218"/>
      <c r="J24" s="180">
        <f>D24+H24+I24</f>
        <v>7025</v>
      </c>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1"/>
      <c r="ER24" s="211"/>
      <c r="ES24" s="211"/>
      <c r="ET24" s="211"/>
      <c r="EU24" s="211"/>
      <c r="EV24" s="211"/>
      <c r="EW24" s="211"/>
      <c r="EX24" s="211"/>
      <c r="EY24" s="211"/>
      <c r="EZ24" s="211"/>
      <c r="FA24" s="211"/>
      <c r="FB24" s="211"/>
      <c r="FC24" s="211"/>
      <c r="FD24" s="211"/>
      <c r="FE24" s="211"/>
      <c r="FF24" s="211"/>
      <c r="FG24" s="211"/>
      <c r="FH24" s="211"/>
      <c r="FI24" s="211"/>
      <c r="FJ24" s="211"/>
      <c r="FK24" s="211"/>
      <c r="FL24" s="211"/>
      <c r="FM24" s="211"/>
      <c r="FN24" s="211"/>
      <c r="FO24" s="211"/>
      <c r="FP24" s="211"/>
      <c r="FQ24" s="211"/>
      <c r="FR24" s="211"/>
      <c r="FS24" s="211"/>
      <c r="FT24" s="211"/>
      <c r="FU24" s="211"/>
      <c r="FV24" s="211"/>
      <c r="FW24" s="211"/>
      <c r="FX24" s="211"/>
      <c r="FY24" s="211"/>
      <c r="FZ24" s="211"/>
      <c r="GA24" s="211"/>
      <c r="GB24" s="211"/>
      <c r="GC24" s="211"/>
      <c r="GD24" s="211"/>
      <c r="GE24" s="211"/>
      <c r="GF24" s="211"/>
      <c r="GG24" s="211"/>
      <c r="GH24" s="211"/>
      <c r="GI24" s="211"/>
      <c r="GJ24" s="211"/>
      <c r="GK24" s="211"/>
      <c r="GL24" s="211"/>
      <c r="GM24" s="211"/>
      <c r="GN24" s="211"/>
      <c r="GO24" s="211"/>
      <c r="GP24" s="211"/>
      <c r="GQ24" s="211"/>
      <c r="GR24" s="211"/>
      <c r="GS24" s="211"/>
      <c r="GT24" s="211"/>
      <c r="GU24" s="211"/>
      <c r="GV24" s="211"/>
      <c r="GW24" s="211"/>
      <c r="GX24" s="211"/>
      <c r="GY24" s="211"/>
      <c r="GZ24" s="211"/>
      <c r="HA24" s="211"/>
      <c r="HB24" s="211"/>
      <c r="HC24" s="211"/>
      <c r="HD24" s="211"/>
      <c r="HE24" s="211"/>
      <c r="HF24" s="211"/>
      <c r="HG24" s="211"/>
      <c r="HH24" s="211"/>
      <c r="HI24" s="211"/>
      <c r="HJ24" s="211"/>
      <c r="HK24" s="211"/>
      <c r="HL24" s="211"/>
      <c r="HM24" s="211"/>
      <c r="HN24" s="211"/>
      <c r="HO24" s="211"/>
      <c r="HP24" s="211"/>
      <c r="HQ24" s="211"/>
      <c r="HR24" s="211"/>
      <c r="HS24" s="211"/>
      <c r="HT24" s="211"/>
      <c r="HU24" s="211"/>
      <c r="HV24" s="211"/>
      <c r="HW24" s="211"/>
      <c r="HX24" s="211"/>
      <c r="HY24" s="211"/>
      <c r="HZ24" s="211"/>
      <c r="IA24" s="211"/>
      <c r="IB24" s="211"/>
      <c r="IC24" s="211"/>
      <c r="ID24" s="211"/>
      <c r="IE24" s="211"/>
      <c r="IF24" s="211"/>
      <c r="IG24" s="211"/>
      <c r="IH24" s="211"/>
      <c r="II24" s="211"/>
      <c r="IJ24" s="211"/>
      <c r="IK24" s="211"/>
      <c r="IL24" s="211"/>
      <c r="IM24" s="211"/>
      <c r="IN24" s="211"/>
      <c r="IO24" s="211"/>
      <c r="IP24" s="211"/>
      <c r="IQ24" s="211"/>
      <c r="IR24" s="211"/>
      <c r="IS24" s="211"/>
      <c r="IT24" s="211"/>
      <c r="IU24" s="211"/>
      <c r="IV24" s="211"/>
    </row>
    <row r="25" spans="1:256" ht="24.75" customHeight="1">
      <c r="A25" s="114">
        <v>17</v>
      </c>
      <c r="B25" s="217" t="s">
        <v>167</v>
      </c>
      <c r="C25" s="218">
        <v>819</v>
      </c>
      <c r="D25" s="219">
        <f t="shared" si="1"/>
        <v>561</v>
      </c>
      <c r="E25" s="218">
        <v>288</v>
      </c>
      <c r="F25" s="218"/>
      <c r="G25" s="180">
        <v>273</v>
      </c>
      <c r="H25" s="180">
        <v>5806</v>
      </c>
      <c r="I25" s="218"/>
      <c r="J25" s="180">
        <f>D25+H25+I25-1</f>
        <v>6366</v>
      </c>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1"/>
      <c r="CV25" s="211"/>
      <c r="CW25" s="211"/>
      <c r="CX25" s="211"/>
      <c r="CY25" s="211"/>
      <c r="CZ25" s="211"/>
      <c r="DA25" s="211"/>
      <c r="DB25" s="211"/>
      <c r="DC25" s="211"/>
      <c r="DD25" s="211"/>
      <c r="DE25" s="211"/>
      <c r="DF25" s="211"/>
      <c r="DG25" s="211"/>
      <c r="DH25" s="211"/>
      <c r="DI25" s="211"/>
      <c r="DJ25" s="211"/>
      <c r="DK25" s="211"/>
      <c r="DL25" s="211"/>
      <c r="DM25" s="211"/>
      <c r="DN25" s="211"/>
      <c r="DO25" s="211"/>
      <c r="DP25" s="211"/>
      <c r="DQ25" s="211"/>
      <c r="DR25" s="211"/>
      <c r="DS25" s="211"/>
      <c r="DT25" s="211"/>
      <c r="DU25" s="211"/>
      <c r="DV25" s="211"/>
      <c r="DW25" s="211"/>
      <c r="DX25" s="211"/>
      <c r="DY25" s="211"/>
      <c r="DZ25" s="211"/>
      <c r="EA25" s="211"/>
      <c r="EB25" s="211"/>
      <c r="EC25" s="211"/>
      <c r="ED25" s="211"/>
      <c r="EE25" s="211"/>
      <c r="EF25" s="211"/>
      <c r="EG25" s="211"/>
      <c r="EH25" s="211"/>
      <c r="EI25" s="211"/>
      <c r="EJ25" s="211"/>
      <c r="EK25" s="211"/>
      <c r="EL25" s="211"/>
      <c r="EM25" s="211"/>
      <c r="EN25" s="211"/>
      <c r="EO25" s="211"/>
      <c r="EP25" s="211"/>
      <c r="EQ25" s="211"/>
      <c r="ER25" s="211"/>
      <c r="ES25" s="211"/>
      <c r="ET25" s="211"/>
      <c r="EU25" s="211"/>
      <c r="EV25" s="211"/>
      <c r="EW25" s="211"/>
      <c r="EX25" s="211"/>
      <c r="EY25" s="211"/>
      <c r="EZ25" s="211"/>
      <c r="FA25" s="211"/>
      <c r="FB25" s="211"/>
      <c r="FC25" s="211"/>
      <c r="FD25" s="211"/>
      <c r="FE25" s="211"/>
      <c r="FF25" s="211"/>
      <c r="FG25" s="211"/>
      <c r="FH25" s="211"/>
      <c r="FI25" s="211"/>
      <c r="FJ25" s="211"/>
      <c r="FK25" s="211"/>
      <c r="FL25" s="211"/>
      <c r="FM25" s="211"/>
      <c r="FN25" s="211"/>
      <c r="FO25" s="211"/>
      <c r="FP25" s="211"/>
      <c r="FQ25" s="211"/>
      <c r="FR25" s="211"/>
      <c r="FS25" s="211"/>
      <c r="FT25" s="211"/>
      <c r="FU25" s="211"/>
      <c r="FV25" s="211"/>
      <c r="FW25" s="211"/>
      <c r="FX25" s="211"/>
      <c r="FY25" s="211"/>
      <c r="FZ25" s="211"/>
      <c r="GA25" s="211"/>
      <c r="GB25" s="211"/>
      <c r="GC25" s="211"/>
      <c r="GD25" s="211"/>
      <c r="GE25" s="211"/>
      <c r="GF25" s="211"/>
      <c r="GG25" s="211"/>
      <c r="GH25" s="211"/>
      <c r="GI25" s="211"/>
      <c r="GJ25" s="211"/>
      <c r="GK25" s="211"/>
      <c r="GL25" s="211"/>
      <c r="GM25" s="211"/>
      <c r="GN25" s="211"/>
      <c r="GO25" s="211"/>
      <c r="GP25" s="211"/>
      <c r="GQ25" s="211"/>
      <c r="GR25" s="211"/>
      <c r="GS25" s="211"/>
      <c r="GT25" s="211"/>
      <c r="GU25" s="211"/>
      <c r="GV25" s="211"/>
      <c r="GW25" s="211"/>
      <c r="GX25" s="211"/>
      <c r="GY25" s="211"/>
      <c r="GZ25" s="211"/>
      <c r="HA25" s="211"/>
      <c r="HB25" s="211"/>
      <c r="HC25" s="211"/>
      <c r="HD25" s="211"/>
      <c r="HE25" s="211"/>
      <c r="HF25" s="211"/>
      <c r="HG25" s="211"/>
      <c r="HH25" s="211"/>
      <c r="HI25" s="211"/>
      <c r="HJ25" s="211"/>
      <c r="HK25" s="211"/>
      <c r="HL25" s="211"/>
      <c r="HM25" s="211"/>
      <c r="HN25" s="211"/>
      <c r="HO25" s="211"/>
      <c r="HP25" s="211"/>
      <c r="HQ25" s="211"/>
      <c r="HR25" s="211"/>
      <c r="HS25" s="211"/>
      <c r="HT25" s="211"/>
      <c r="HU25" s="211"/>
      <c r="HV25" s="211"/>
      <c r="HW25" s="211"/>
      <c r="HX25" s="211"/>
      <c r="HY25" s="211"/>
      <c r="HZ25" s="211"/>
      <c r="IA25" s="211"/>
      <c r="IB25" s="211"/>
      <c r="IC25" s="211"/>
      <c r="ID25" s="211"/>
      <c r="IE25" s="211"/>
      <c r="IF25" s="211"/>
      <c r="IG25" s="211"/>
      <c r="IH25" s="211"/>
      <c r="II25" s="211"/>
      <c r="IJ25" s="211"/>
      <c r="IK25" s="211"/>
      <c r="IL25" s="211"/>
      <c r="IM25" s="211"/>
      <c r="IN25" s="211"/>
      <c r="IO25" s="211"/>
      <c r="IP25" s="211"/>
      <c r="IQ25" s="211"/>
      <c r="IR25" s="211"/>
      <c r="IS25" s="211"/>
      <c r="IT25" s="211"/>
      <c r="IU25" s="211"/>
      <c r="IV25" s="211"/>
    </row>
    <row r="26" spans="1:256" ht="24.75" customHeight="1">
      <c r="A26" s="114">
        <v>18</v>
      </c>
      <c r="B26" s="217" t="s">
        <v>168</v>
      </c>
      <c r="C26" s="218">
        <v>75190</v>
      </c>
      <c r="D26" s="219">
        <f t="shared" si="1"/>
        <v>12166</v>
      </c>
      <c r="E26" s="218">
        <v>5442</v>
      </c>
      <c r="F26" s="218"/>
      <c r="G26" s="180">
        <v>6724</v>
      </c>
      <c r="H26" s="180"/>
      <c r="I26" s="218"/>
      <c r="J26" s="180">
        <f>D26+H26+I26</f>
        <v>12166</v>
      </c>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211"/>
      <c r="DH26" s="211"/>
      <c r="DI26" s="211"/>
      <c r="DJ26" s="211"/>
      <c r="DK26" s="211"/>
      <c r="DL26" s="211"/>
      <c r="DM26" s="211"/>
      <c r="DN26" s="211"/>
      <c r="DO26" s="211"/>
      <c r="DP26" s="211"/>
      <c r="DQ26" s="211"/>
      <c r="DR26" s="211"/>
      <c r="DS26" s="211"/>
      <c r="DT26" s="211"/>
      <c r="DU26" s="211"/>
      <c r="DV26" s="211"/>
      <c r="DW26" s="211"/>
      <c r="DX26" s="211"/>
      <c r="DY26" s="211"/>
      <c r="DZ26" s="211"/>
      <c r="EA26" s="211"/>
      <c r="EB26" s="211"/>
      <c r="EC26" s="211"/>
      <c r="ED26" s="211"/>
      <c r="EE26" s="211"/>
      <c r="EF26" s="211"/>
      <c r="EG26" s="211"/>
      <c r="EH26" s="211"/>
      <c r="EI26" s="211"/>
      <c r="EJ26" s="211"/>
      <c r="EK26" s="211"/>
      <c r="EL26" s="211"/>
      <c r="EM26" s="211"/>
      <c r="EN26" s="211"/>
      <c r="EO26" s="211"/>
      <c r="EP26" s="211"/>
      <c r="EQ26" s="211"/>
      <c r="ER26" s="211"/>
      <c r="ES26" s="211"/>
      <c r="ET26" s="211"/>
      <c r="EU26" s="211"/>
      <c r="EV26" s="211"/>
      <c r="EW26" s="211"/>
      <c r="EX26" s="211"/>
      <c r="EY26" s="211"/>
      <c r="EZ26" s="211"/>
      <c r="FA26" s="211"/>
      <c r="FB26" s="211"/>
      <c r="FC26" s="211"/>
      <c r="FD26" s="211"/>
      <c r="FE26" s="211"/>
      <c r="FF26" s="211"/>
      <c r="FG26" s="211"/>
      <c r="FH26" s="211"/>
      <c r="FI26" s="211"/>
      <c r="FJ26" s="211"/>
      <c r="FK26" s="211"/>
      <c r="FL26" s="211"/>
      <c r="FM26" s="211"/>
      <c r="FN26" s="211"/>
      <c r="FO26" s="211"/>
      <c r="FP26" s="211"/>
      <c r="FQ26" s="211"/>
      <c r="FR26" s="211"/>
      <c r="FS26" s="211"/>
      <c r="FT26" s="211"/>
      <c r="FU26" s="211"/>
      <c r="FV26" s="211"/>
      <c r="FW26" s="211"/>
      <c r="FX26" s="211"/>
      <c r="FY26" s="211"/>
      <c r="FZ26" s="211"/>
      <c r="GA26" s="211"/>
      <c r="GB26" s="211"/>
      <c r="GC26" s="211"/>
      <c r="GD26" s="211"/>
      <c r="GE26" s="211"/>
      <c r="GF26" s="211"/>
      <c r="GG26" s="211"/>
      <c r="GH26" s="211"/>
      <c r="GI26" s="211"/>
      <c r="GJ26" s="211"/>
      <c r="GK26" s="211"/>
      <c r="GL26" s="211"/>
      <c r="GM26" s="211"/>
      <c r="GN26" s="211"/>
      <c r="GO26" s="211"/>
      <c r="GP26" s="211"/>
      <c r="GQ26" s="211"/>
      <c r="GR26" s="211"/>
      <c r="GS26" s="211"/>
      <c r="GT26" s="211"/>
      <c r="GU26" s="211"/>
      <c r="GV26" s="211"/>
      <c r="GW26" s="211"/>
      <c r="GX26" s="211"/>
      <c r="GY26" s="211"/>
      <c r="GZ26" s="211"/>
      <c r="HA26" s="211"/>
      <c r="HB26" s="211"/>
      <c r="HC26" s="211"/>
      <c r="HD26" s="211"/>
      <c r="HE26" s="211"/>
      <c r="HF26" s="211"/>
      <c r="HG26" s="211"/>
      <c r="HH26" s="211"/>
      <c r="HI26" s="211"/>
      <c r="HJ26" s="211"/>
      <c r="HK26" s="211"/>
      <c r="HL26" s="211"/>
      <c r="HM26" s="211"/>
      <c r="HN26" s="211"/>
      <c r="HO26" s="211"/>
      <c r="HP26" s="211"/>
      <c r="HQ26" s="211"/>
      <c r="HR26" s="211"/>
      <c r="HS26" s="211"/>
      <c r="HT26" s="211"/>
      <c r="HU26" s="211"/>
      <c r="HV26" s="211"/>
      <c r="HW26" s="211"/>
      <c r="HX26" s="211"/>
      <c r="HY26" s="211"/>
      <c r="HZ26" s="211"/>
      <c r="IA26" s="211"/>
      <c r="IB26" s="211"/>
      <c r="IC26" s="211"/>
      <c r="ID26" s="211"/>
      <c r="IE26" s="211"/>
      <c r="IF26" s="211"/>
      <c r="IG26" s="211"/>
      <c r="IH26" s="211"/>
      <c r="II26" s="211"/>
      <c r="IJ26" s="211"/>
      <c r="IK26" s="211"/>
      <c r="IL26" s="211"/>
      <c r="IM26" s="211"/>
      <c r="IN26" s="211"/>
      <c r="IO26" s="211"/>
      <c r="IP26" s="211"/>
      <c r="IQ26" s="211"/>
      <c r="IR26" s="211"/>
      <c r="IS26" s="211"/>
      <c r="IT26" s="211"/>
      <c r="IU26" s="211"/>
      <c r="IV26" s="211"/>
    </row>
    <row r="27" spans="1:256" ht="24.75" customHeight="1">
      <c r="A27" s="220"/>
      <c r="B27" s="221"/>
      <c r="C27" s="222"/>
      <c r="D27" s="222"/>
      <c r="E27" s="222"/>
      <c r="F27" s="222"/>
      <c r="G27" s="180"/>
      <c r="H27" s="222"/>
      <c r="I27" s="222"/>
      <c r="J27" s="222"/>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c r="CV27" s="211"/>
      <c r="CW27" s="211"/>
      <c r="CX27" s="211"/>
      <c r="CY27" s="211"/>
      <c r="CZ27" s="211"/>
      <c r="DA27" s="211"/>
      <c r="DB27" s="211"/>
      <c r="DC27" s="211"/>
      <c r="DD27" s="211"/>
      <c r="DE27" s="211"/>
      <c r="DF27" s="211"/>
      <c r="DG27" s="211"/>
      <c r="DH27" s="211"/>
      <c r="DI27" s="211"/>
      <c r="DJ27" s="211"/>
      <c r="DK27" s="211"/>
      <c r="DL27" s="211"/>
      <c r="DM27" s="211"/>
      <c r="DN27" s="211"/>
      <c r="DO27" s="211"/>
      <c r="DP27" s="211"/>
      <c r="DQ27" s="211"/>
      <c r="DR27" s="211"/>
      <c r="DS27" s="211"/>
      <c r="DT27" s="211"/>
      <c r="DU27" s="211"/>
      <c r="DV27" s="211"/>
      <c r="DW27" s="211"/>
      <c r="DX27" s="211"/>
      <c r="DY27" s="211"/>
      <c r="DZ27" s="211"/>
      <c r="EA27" s="211"/>
      <c r="EB27" s="211"/>
      <c r="EC27" s="211"/>
      <c r="ED27" s="211"/>
      <c r="EE27" s="211"/>
      <c r="EF27" s="211"/>
      <c r="EG27" s="211"/>
      <c r="EH27" s="211"/>
      <c r="EI27" s="211"/>
      <c r="EJ27" s="211"/>
      <c r="EK27" s="211"/>
      <c r="EL27" s="211"/>
      <c r="EM27" s="211"/>
      <c r="EN27" s="211"/>
      <c r="EO27" s="211"/>
      <c r="EP27" s="211"/>
      <c r="EQ27" s="211"/>
      <c r="ER27" s="211"/>
      <c r="ES27" s="211"/>
      <c r="ET27" s="211"/>
      <c r="EU27" s="211"/>
      <c r="EV27" s="211"/>
      <c r="EW27" s="211"/>
      <c r="EX27" s="211"/>
      <c r="EY27" s="211"/>
      <c r="EZ27" s="211"/>
      <c r="FA27" s="211"/>
      <c r="FB27" s="211"/>
      <c r="FC27" s="211"/>
      <c r="FD27" s="211"/>
      <c r="FE27" s="211"/>
      <c r="FF27" s="211"/>
      <c r="FG27" s="211"/>
      <c r="FH27" s="211"/>
      <c r="FI27" s="211"/>
      <c r="FJ27" s="211"/>
      <c r="FK27" s="211"/>
      <c r="FL27" s="211"/>
      <c r="FM27" s="211"/>
      <c r="FN27" s="211"/>
      <c r="FO27" s="211"/>
      <c r="FP27" s="211"/>
      <c r="FQ27" s="211"/>
      <c r="FR27" s="211"/>
      <c r="FS27" s="211"/>
      <c r="FT27" s="211"/>
      <c r="FU27" s="211"/>
      <c r="FV27" s="211"/>
      <c r="FW27" s="211"/>
      <c r="FX27" s="211"/>
      <c r="FY27" s="211"/>
      <c r="FZ27" s="211"/>
      <c r="GA27" s="211"/>
      <c r="GB27" s="211"/>
      <c r="GC27" s="211"/>
      <c r="GD27" s="211"/>
      <c r="GE27" s="211"/>
      <c r="GF27" s="211"/>
      <c r="GG27" s="211"/>
      <c r="GH27" s="211"/>
      <c r="GI27" s="211"/>
      <c r="GJ27" s="211"/>
      <c r="GK27" s="211"/>
      <c r="GL27" s="211"/>
      <c r="GM27" s="211"/>
      <c r="GN27" s="211"/>
      <c r="GO27" s="211"/>
      <c r="GP27" s="211"/>
      <c r="GQ27" s="211"/>
      <c r="GR27" s="211"/>
      <c r="GS27" s="211"/>
      <c r="GT27" s="211"/>
      <c r="GU27" s="211"/>
      <c r="GV27" s="211"/>
      <c r="GW27" s="211"/>
      <c r="GX27" s="211"/>
      <c r="GY27" s="211"/>
      <c r="GZ27" s="211"/>
      <c r="HA27" s="211"/>
      <c r="HB27" s="211"/>
      <c r="HC27" s="211"/>
      <c r="HD27" s="211"/>
      <c r="HE27" s="211"/>
      <c r="HF27" s="211"/>
      <c r="HG27" s="211"/>
      <c r="HH27" s="211"/>
      <c r="HI27" s="211"/>
      <c r="HJ27" s="211"/>
      <c r="HK27" s="211"/>
      <c r="HL27" s="211"/>
      <c r="HM27" s="211"/>
      <c r="HN27" s="211"/>
      <c r="HO27" s="211"/>
      <c r="HP27" s="211"/>
      <c r="HQ27" s="211"/>
      <c r="HR27" s="211"/>
      <c r="HS27" s="211"/>
      <c r="HT27" s="211"/>
      <c r="HU27" s="211"/>
      <c r="HV27" s="211"/>
      <c r="HW27" s="211"/>
      <c r="HX27" s="211"/>
      <c r="HY27" s="211"/>
      <c r="HZ27" s="211"/>
      <c r="IA27" s="211"/>
      <c r="IB27" s="211"/>
      <c r="IC27" s="211"/>
      <c r="ID27" s="211"/>
      <c r="IE27" s="211"/>
      <c r="IF27" s="211"/>
      <c r="IG27" s="211"/>
      <c r="IH27" s="211"/>
      <c r="II27" s="211"/>
      <c r="IJ27" s="211"/>
      <c r="IK27" s="211"/>
      <c r="IL27" s="211"/>
      <c r="IM27" s="211"/>
      <c r="IN27" s="211"/>
      <c r="IO27" s="211"/>
      <c r="IP27" s="211"/>
      <c r="IQ27" s="211"/>
      <c r="IR27" s="211"/>
      <c r="IS27" s="211"/>
      <c r="IT27" s="211"/>
      <c r="IU27" s="211"/>
      <c r="IV27" s="211"/>
    </row>
    <row r="28" spans="1:256" ht="15.75">
      <c r="A28" s="211"/>
      <c r="B28" s="211"/>
      <c r="C28" s="211"/>
      <c r="D28" s="211"/>
      <c r="E28" s="211"/>
      <c r="F28" s="211"/>
      <c r="G28" s="223"/>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1"/>
      <c r="DH28" s="211"/>
      <c r="DI28" s="211"/>
      <c r="DJ28" s="211"/>
      <c r="DK28" s="211"/>
      <c r="DL28" s="211"/>
      <c r="DM28" s="211"/>
      <c r="DN28" s="211"/>
      <c r="DO28" s="211"/>
      <c r="DP28" s="211"/>
      <c r="DQ28" s="211"/>
      <c r="DR28" s="211"/>
      <c r="DS28" s="211"/>
      <c r="DT28" s="211"/>
      <c r="DU28" s="211"/>
      <c r="DV28" s="211"/>
      <c r="DW28" s="211"/>
      <c r="DX28" s="211"/>
      <c r="DY28" s="211"/>
      <c r="DZ28" s="211"/>
      <c r="EA28" s="211"/>
      <c r="EB28" s="211"/>
      <c r="EC28" s="211"/>
      <c r="ED28" s="211"/>
      <c r="EE28" s="211"/>
      <c r="EF28" s="211"/>
      <c r="EG28" s="211"/>
      <c r="EH28" s="211"/>
      <c r="EI28" s="211"/>
      <c r="EJ28" s="211"/>
      <c r="EK28" s="211"/>
      <c r="EL28" s="211"/>
      <c r="EM28" s="211"/>
      <c r="EN28" s="211"/>
      <c r="EO28" s="211"/>
      <c r="EP28" s="211"/>
      <c r="EQ28" s="211"/>
      <c r="ER28" s="211"/>
      <c r="ES28" s="211"/>
      <c r="ET28" s="211"/>
      <c r="EU28" s="211"/>
      <c r="EV28" s="211"/>
      <c r="EW28" s="211"/>
      <c r="EX28" s="211"/>
      <c r="EY28" s="211"/>
      <c r="EZ28" s="211"/>
      <c r="FA28" s="211"/>
      <c r="FB28" s="211"/>
      <c r="FC28" s="211"/>
      <c r="FD28" s="211"/>
      <c r="FE28" s="211"/>
      <c r="FF28" s="211"/>
      <c r="FG28" s="211"/>
      <c r="FH28" s="211"/>
      <c r="FI28" s="211"/>
      <c r="FJ28" s="211"/>
      <c r="FK28" s="211"/>
      <c r="FL28" s="211"/>
      <c r="FM28" s="211"/>
      <c r="FN28" s="211"/>
      <c r="FO28" s="211"/>
      <c r="FP28" s="211"/>
      <c r="FQ28" s="211"/>
      <c r="FR28" s="211"/>
      <c r="FS28" s="211"/>
      <c r="FT28" s="211"/>
      <c r="FU28" s="211"/>
      <c r="FV28" s="211"/>
      <c r="FW28" s="211"/>
      <c r="FX28" s="211"/>
      <c r="FY28" s="211"/>
      <c r="FZ28" s="211"/>
      <c r="GA28" s="211"/>
      <c r="GB28" s="211"/>
      <c r="GC28" s="211"/>
      <c r="GD28" s="211"/>
      <c r="GE28" s="211"/>
      <c r="GF28" s="211"/>
      <c r="GG28" s="211"/>
      <c r="GH28" s="211"/>
      <c r="GI28" s="211"/>
      <c r="GJ28" s="211"/>
      <c r="GK28" s="211"/>
      <c r="GL28" s="211"/>
      <c r="GM28" s="211"/>
      <c r="GN28" s="211"/>
      <c r="GO28" s="211"/>
      <c r="GP28" s="211"/>
      <c r="GQ28" s="211"/>
      <c r="GR28" s="211"/>
      <c r="GS28" s="211"/>
      <c r="GT28" s="211"/>
      <c r="GU28" s="211"/>
      <c r="GV28" s="211"/>
      <c r="GW28" s="211"/>
      <c r="GX28" s="211"/>
      <c r="GY28" s="211"/>
      <c r="GZ28" s="211"/>
      <c r="HA28" s="211"/>
      <c r="HB28" s="211"/>
      <c r="HC28" s="211"/>
      <c r="HD28" s="211"/>
      <c r="HE28" s="211"/>
      <c r="HF28" s="211"/>
      <c r="HG28" s="211"/>
      <c r="HH28" s="211"/>
      <c r="HI28" s="211"/>
      <c r="HJ28" s="211"/>
      <c r="HK28" s="211"/>
      <c r="HL28" s="211"/>
      <c r="HM28" s="211"/>
      <c r="HN28" s="211"/>
      <c r="HO28" s="211"/>
      <c r="HP28" s="211"/>
      <c r="HQ28" s="211"/>
      <c r="HR28" s="211"/>
      <c r="HS28" s="211"/>
      <c r="HT28" s="211"/>
      <c r="HU28" s="211"/>
      <c r="HV28" s="211"/>
      <c r="HW28" s="211"/>
      <c r="HX28" s="211"/>
      <c r="HY28" s="211"/>
      <c r="HZ28" s="211"/>
      <c r="IA28" s="211"/>
      <c r="IB28" s="211"/>
      <c r="IC28" s="211"/>
      <c r="ID28" s="211"/>
      <c r="IE28" s="211"/>
      <c r="IF28" s="211"/>
      <c r="IG28" s="211"/>
      <c r="IH28" s="211"/>
      <c r="II28" s="211"/>
      <c r="IJ28" s="211"/>
      <c r="IK28" s="211"/>
      <c r="IL28" s="211"/>
      <c r="IM28" s="211"/>
      <c r="IN28" s="211"/>
      <c r="IO28" s="211"/>
      <c r="IP28" s="211"/>
      <c r="IQ28" s="211"/>
      <c r="IR28" s="211"/>
      <c r="IS28" s="211"/>
      <c r="IT28" s="211"/>
      <c r="IU28" s="211"/>
      <c r="IV28" s="211"/>
    </row>
    <row r="29" spans="1:256" ht="15.75">
      <c r="A29" s="211"/>
      <c r="B29" s="211"/>
      <c r="C29" s="211"/>
      <c r="D29" s="211"/>
      <c r="E29" s="211"/>
      <c r="F29" s="211"/>
      <c r="G29" s="223"/>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c r="CP29" s="211"/>
      <c r="CQ29" s="211"/>
      <c r="CR29" s="211"/>
      <c r="CS29" s="211"/>
      <c r="CT29" s="211"/>
      <c r="CU29" s="211"/>
      <c r="CV29" s="211"/>
      <c r="CW29" s="211"/>
      <c r="CX29" s="211"/>
      <c r="CY29" s="211"/>
      <c r="CZ29" s="211"/>
      <c r="DA29" s="211"/>
      <c r="DB29" s="211"/>
      <c r="DC29" s="211"/>
      <c r="DD29" s="211"/>
      <c r="DE29" s="211"/>
      <c r="DF29" s="211"/>
      <c r="DG29" s="211"/>
      <c r="DH29" s="211"/>
      <c r="DI29" s="211"/>
      <c r="DJ29" s="211"/>
      <c r="DK29" s="211"/>
      <c r="DL29" s="211"/>
      <c r="DM29" s="211"/>
      <c r="DN29" s="211"/>
      <c r="DO29" s="211"/>
      <c r="DP29" s="211"/>
      <c r="DQ29" s="211"/>
      <c r="DR29" s="211"/>
      <c r="DS29" s="211"/>
      <c r="DT29" s="211"/>
      <c r="DU29" s="211"/>
      <c r="DV29" s="211"/>
      <c r="DW29" s="211"/>
      <c r="DX29" s="211"/>
      <c r="DY29" s="211"/>
      <c r="DZ29" s="211"/>
      <c r="EA29" s="211"/>
      <c r="EB29" s="211"/>
      <c r="EC29" s="211"/>
      <c r="ED29" s="211"/>
      <c r="EE29" s="211"/>
      <c r="EF29" s="211"/>
      <c r="EG29" s="211"/>
      <c r="EH29" s="211"/>
      <c r="EI29" s="211"/>
      <c r="EJ29" s="211"/>
      <c r="EK29" s="211"/>
      <c r="EL29" s="211"/>
      <c r="EM29" s="211"/>
      <c r="EN29" s="211"/>
      <c r="EO29" s="211"/>
      <c r="EP29" s="211"/>
      <c r="EQ29" s="211"/>
      <c r="ER29" s="211"/>
      <c r="ES29" s="211"/>
      <c r="ET29" s="211"/>
      <c r="EU29" s="211"/>
      <c r="EV29" s="211"/>
      <c r="EW29" s="211"/>
      <c r="EX29" s="211"/>
      <c r="EY29" s="211"/>
      <c r="EZ29" s="211"/>
      <c r="FA29" s="211"/>
      <c r="FB29" s="211"/>
      <c r="FC29" s="211"/>
      <c r="FD29" s="211"/>
      <c r="FE29" s="211"/>
      <c r="FF29" s="211"/>
      <c r="FG29" s="211"/>
      <c r="FH29" s="211"/>
      <c r="FI29" s="211"/>
      <c r="FJ29" s="211"/>
      <c r="FK29" s="211"/>
      <c r="FL29" s="211"/>
      <c r="FM29" s="211"/>
      <c r="FN29" s="211"/>
      <c r="FO29" s="211"/>
      <c r="FP29" s="211"/>
      <c r="FQ29" s="211"/>
      <c r="FR29" s="211"/>
      <c r="FS29" s="211"/>
      <c r="FT29" s="211"/>
      <c r="FU29" s="211"/>
      <c r="FV29" s="211"/>
      <c r="FW29" s="211"/>
      <c r="FX29" s="211"/>
      <c r="FY29" s="211"/>
      <c r="FZ29" s="211"/>
      <c r="GA29" s="211"/>
      <c r="GB29" s="211"/>
      <c r="GC29" s="211"/>
      <c r="GD29" s="211"/>
      <c r="GE29" s="211"/>
      <c r="GF29" s="211"/>
      <c r="GG29" s="211"/>
      <c r="GH29" s="211"/>
      <c r="GI29" s="211"/>
      <c r="GJ29" s="211"/>
      <c r="GK29" s="211"/>
      <c r="GL29" s="211"/>
      <c r="GM29" s="211"/>
      <c r="GN29" s="211"/>
      <c r="GO29" s="211"/>
      <c r="GP29" s="211"/>
      <c r="GQ29" s="211"/>
      <c r="GR29" s="211"/>
      <c r="GS29" s="211"/>
      <c r="GT29" s="211"/>
      <c r="GU29" s="211"/>
      <c r="GV29" s="211"/>
      <c r="GW29" s="211"/>
      <c r="GX29" s="211"/>
      <c r="GY29" s="211"/>
      <c r="GZ29" s="211"/>
      <c r="HA29" s="211"/>
      <c r="HB29" s="211"/>
      <c r="HC29" s="211"/>
      <c r="HD29" s="211"/>
      <c r="HE29" s="211"/>
      <c r="HF29" s="211"/>
      <c r="HG29" s="211"/>
      <c r="HH29" s="211"/>
      <c r="HI29" s="211"/>
      <c r="HJ29" s="211"/>
      <c r="HK29" s="211"/>
      <c r="HL29" s="211"/>
      <c r="HM29" s="211"/>
      <c r="HN29" s="211"/>
      <c r="HO29" s="211"/>
      <c r="HP29" s="211"/>
      <c r="HQ29" s="211"/>
      <c r="HR29" s="211"/>
      <c r="HS29" s="211"/>
      <c r="HT29" s="211"/>
      <c r="HU29" s="211"/>
      <c r="HV29" s="211"/>
      <c r="HW29" s="211"/>
      <c r="HX29" s="211"/>
      <c r="HY29" s="211"/>
      <c r="HZ29" s="211"/>
      <c r="IA29" s="211"/>
      <c r="IB29" s="211"/>
      <c r="IC29" s="211"/>
      <c r="ID29" s="211"/>
      <c r="IE29" s="211"/>
      <c r="IF29" s="211"/>
      <c r="IG29" s="211"/>
      <c r="IH29" s="211"/>
      <c r="II29" s="211"/>
      <c r="IJ29" s="211"/>
      <c r="IK29" s="211"/>
      <c r="IL29" s="211"/>
      <c r="IM29" s="211"/>
      <c r="IN29" s="211"/>
      <c r="IO29" s="211"/>
      <c r="IP29" s="211"/>
      <c r="IQ29" s="211"/>
      <c r="IR29" s="211"/>
      <c r="IS29" s="211"/>
      <c r="IT29" s="211"/>
      <c r="IU29" s="211"/>
      <c r="IV29" s="211"/>
    </row>
  </sheetData>
  <sheetProtection/>
  <mergeCells count="14">
    <mergeCell ref="A1:B1"/>
    <mergeCell ref="I1:J1"/>
    <mergeCell ref="I3:J3"/>
    <mergeCell ref="A4:A6"/>
    <mergeCell ref="B4:B6"/>
    <mergeCell ref="C4:C6"/>
    <mergeCell ref="A2:J2"/>
    <mergeCell ref="D4:D6"/>
    <mergeCell ref="E4:G4"/>
    <mergeCell ref="H4:H6"/>
    <mergeCell ref="I4:I6"/>
    <mergeCell ref="J4:J6"/>
    <mergeCell ref="E5:E6"/>
    <mergeCell ref="F5:G5"/>
  </mergeCells>
  <printOptions/>
  <pageMargins left="0.31" right="0.2" top="0.56" bottom="0.3" header="0.33"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HOANG KHIEN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ts83dnk</dc:creator>
  <cp:keywords/>
  <dc:description/>
  <cp:lastModifiedBy>Admin</cp:lastModifiedBy>
  <cp:lastPrinted>2022-12-17T01:55:07Z</cp:lastPrinted>
  <dcterms:created xsi:type="dcterms:W3CDTF">2009-08-16T17:27:04Z</dcterms:created>
  <dcterms:modified xsi:type="dcterms:W3CDTF">2023-01-03T08:18:39Z</dcterms:modified>
  <cp:category/>
  <cp:version/>
  <cp:contentType/>
  <cp:contentStatus/>
</cp:coreProperties>
</file>